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6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MODELOS\EDARI_TARIFA\"/>
    </mc:Choice>
  </mc:AlternateContent>
  <xr:revisionPtr revIDLastSave="0" documentId="13_ncr:201_{5D4DC498-6F8C-4633-AEA6-C9B7B84BF866}" xr6:coauthVersionLast="36" xr6:coauthVersionMax="36" xr10:uidLastSave="{00000000-0000-0000-0000-000000000000}"/>
  <bookViews>
    <workbookView xWindow="0" yWindow="60" windowWidth="15300" windowHeight="8160" xr2:uid="{00000000-000D-0000-FFFF-FFFF00000000}"/>
  </bookViews>
  <sheets>
    <sheet name="CONFECCION" sheetId="1" r:id="rId1"/>
    <sheet name="Auxiliar" sheetId="2" state="hidden" r:id="rId2"/>
    <sheet name="Carta" sheetId="3" state="hidden" r:id="rId3"/>
    <sheet name="PRESUPUESTO PARA IMPRIMIR" sheetId="5" r:id="rId4"/>
  </sheets>
  <definedNames>
    <definedName name="IF" localSheetId="0">CONFECCION!$G$34</definedName>
    <definedName name="IF">CONFECCION!$G$34</definedName>
    <definedName name="PDAS">CONFECCION!$A$29</definedName>
    <definedName name="_xlnm.Print_Area" localSheetId="0">CONFECCION!$A$1:$I$59</definedName>
    <definedName name="_xlnm.Print_Area" localSheetId="3">'PRESUPUESTO PARA IMPRIMIR'!$A$1:$N$215</definedName>
    <definedName name="TAlm">CONFECCION!$E$22</definedName>
    <definedName name="TRep">CONFECCION!$H$29</definedName>
    <definedName name="Usuarios" comment="Número de usuarios que accederán simultáneamente a EDARI.">CONFECCION!$A$9</definedName>
  </definedNames>
  <calcPr calcId="191029"/>
</workbook>
</file>

<file path=xl/calcChain.xml><?xml version="1.0" encoding="utf-8"?>
<calcChain xmlns="http://schemas.openxmlformats.org/spreadsheetml/2006/main">
  <c r="A177" i="5" l="1"/>
  <c r="E26" i="2"/>
  <c r="A155" i="5"/>
  <c r="D60" i="2"/>
  <c r="E65" i="2" s="1"/>
  <c r="D59" i="2"/>
  <c r="E64" i="2" s="1"/>
  <c r="D58" i="2"/>
  <c r="E63" i="2" s="1"/>
  <c r="D57" i="2"/>
  <c r="E57" i="2" s="1"/>
  <c r="A69" i="5"/>
  <c r="A70" i="5"/>
  <c r="A65" i="5"/>
  <c r="E2" i="2"/>
  <c r="E1" i="2"/>
  <c r="A154" i="5" l="1"/>
  <c r="E60" i="2"/>
  <c r="E59" i="2"/>
  <c r="E58" i="2"/>
  <c r="E62" i="2"/>
  <c r="F65" i="2" s="1"/>
  <c r="B17" i="3"/>
  <c r="D54" i="2"/>
  <c r="E54" i="2" s="1"/>
  <c r="D53" i="2"/>
  <c r="E53" i="2" s="1"/>
  <c r="D52" i="2"/>
  <c r="E52" i="2" s="1"/>
  <c r="D35" i="2"/>
  <c r="E35" i="2" s="1"/>
  <c r="E33" i="2"/>
  <c r="E32" i="2"/>
  <c r="E31" i="2"/>
  <c r="E9" i="2"/>
  <c r="B50" i="2"/>
  <c r="C50" i="2" s="1"/>
  <c r="D19" i="2"/>
  <c r="E19" i="2" s="1"/>
  <c r="B49" i="2"/>
  <c r="C49" i="2" s="1"/>
  <c r="D18" i="2"/>
  <c r="E18" i="2" s="1"/>
  <c r="B48" i="2"/>
  <c r="C48" i="2" s="1"/>
  <c r="D17" i="2"/>
  <c r="E17" i="2" s="1"/>
  <c r="B47" i="2"/>
  <c r="E47" i="2" s="1"/>
  <c r="D16" i="2"/>
  <c r="E16" i="2" s="1"/>
  <c r="A46" i="2"/>
  <c r="C6" i="2" s="1"/>
  <c r="B213" i="5"/>
  <c r="B26" i="5"/>
  <c r="A19" i="5"/>
  <c r="N204" i="5" s="1"/>
  <c r="A118" i="5"/>
  <c r="A13" i="3"/>
  <c r="E29" i="2"/>
  <c r="E28" i="2"/>
  <c r="E8" i="2"/>
  <c r="E7" i="2"/>
  <c r="E5" i="2"/>
  <c r="N71" i="5" s="1"/>
  <c r="E4" i="2"/>
  <c r="N73" i="5" s="1"/>
  <c r="A8" i="3"/>
  <c r="A9" i="3"/>
  <c r="A5" i="3"/>
  <c r="A3" i="3"/>
  <c r="A7" i="3"/>
  <c r="A6" i="3"/>
  <c r="A4" i="3"/>
  <c r="A2" i="3"/>
  <c r="A1" i="3"/>
  <c r="D38" i="2"/>
  <c r="E38" i="2" s="1"/>
  <c r="D37" i="2"/>
  <c r="E37" i="2" s="1"/>
  <c r="D36" i="2"/>
  <c r="E36" i="2" s="1"/>
  <c r="E27" i="2"/>
  <c r="E25" i="2"/>
  <c r="E3" i="2"/>
  <c r="N70" i="5"/>
  <c r="N69" i="5"/>
  <c r="E1" i="1"/>
  <c r="N154" i="5" l="1"/>
  <c r="F60" i="2"/>
  <c r="F54" i="2"/>
  <c r="N177" i="5" s="1"/>
  <c r="C47" i="2"/>
  <c r="D50" i="2" s="1"/>
  <c r="D6" i="2" s="1"/>
  <c r="E6" i="2" s="1"/>
  <c r="F42" i="1" s="1"/>
  <c r="E50" i="2"/>
  <c r="E49" i="2"/>
  <c r="E48" i="2"/>
  <c r="A117" i="5"/>
  <c r="F17" i="2"/>
  <c r="F18" i="2"/>
  <c r="H18" i="2"/>
  <c r="H16" i="2"/>
  <c r="F16" i="2"/>
  <c r="H17" i="2"/>
  <c r="F19" i="2"/>
  <c r="H19" i="2"/>
  <c r="N72" i="5"/>
  <c r="E22" i="2"/>
  <c r="E24" i="2"/>
  <c r="E21" i="2"/>
  <c r="E23" i="2"/>
  <c r="E41" i="2"/>
  <c r="E43" i="2"/>
  <c r="E40" i="2"/>
  <c r="E42" i="2"/>
  <c r="F38" i="2"/>
  <c r="G60" i="2" l="1"/>
  <c r="N155" i="5"/>
  <c r="A17" i="3"/>
  <c r="F48" i="1"/>
  <c r="F50" i="2"/>
  <c r="E30" i="2" s="1"/>
  <c r="F33" i="2" s="1"/>
  <c r="N74" i="5"/>
  <c r="A11" i="3"/>
  <c r="N117" i="5"/>
  <c r="N118" i="5"/>
  <c r="G38" i="2"/>
  <c r="I19" i="2"/>
  <c r="N63" i="5" s="1"/>
  <c r="G19" i="2"/>
  <c r="F43" i="2"/>
  <c r="N77" i="5" l="1"/>
  <c r="F44" i="1"/>
  <c r="F46" i="1"/>
  <c r="N175" i="5" s="1"/>
  <c r="N157" i="5"/>
  <c r="F52" i="1"/>
  <c r="N186" i="5" s="1"/>
  <c r="N120" i="5"/>
  <c r="N65" i="5"/>
  <c r="J19" i="2"/>
  <c r="F40" i="1" s="1"/>
  <c r="A12" i="3" l="1"/>
  <c r="N173" i="5"/>
  <c r="F50" i="1"/>
  <c r="A14" i="3" s="1"/>
  <c r="A10" i="3"/>
  <c r="A16" i="3"/>
  <c r="A15" i="3"/>
  <c r="N76" i="5" l="1"/>
  <c r="N79" i="5" s="1"/>
  <c r="N171" i="5"/>
  <c r="N180" i="5" l="1"/>
  <c r="N193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RAFA</author>
  </authors>
  <commentList>
    <comment ref="A9" authorId="0" shapeId="0" xr:uid="{00000000-0006-0000-0000-000001000000}">
      <text>
        <r>
          <rPr>
            <b/>
            <sz val="7"/>
            <color indexed="81"/>
            <rFont val="Tahoma"/>
            <family val="2"/>
          </rPr>
          <t>Introduzca el número de usuarios que accederán simultáneamente a EDARI que constituirán el número de Licencias.</t>
        </r>
      </text>
    </comment>
    <comment ref="E22" authorId="0" shapeId="0" xr:uid="{00000000-0006-0000-0000-000002000000}">
      <text>
        <r>
          <rPr>
            <b/>
            <sz val="7"/>
            <color indexed="81"/>
            <rFont val="Tahoma"/>
            <family val="2"/>
          </rPr>
          <t>Introduzca el número de Terminales de control de almacén que necesitará.</t>
        </r>
      </text>
    </comment>
    <comment ref="A29" authorId="0" shapeId="0" xr:uid="{00000000-0006-0000-0000-000003000000}">
      <text>
        <r>
          <rPr>
            <b/>
            <sz val="7"/>
            <color indexed="81"/>
            <rFont val="Tahoma"/>
            <family val="2"/>
          </rPr>
          <t xml:space="preserve">Introduzca el número de Terminales o PDA's en Autoventa o Preventa que necesitará.
</t>
        </r>
      </text>
    </comment>
    <comment ref="H29" authorId="0" shapeId="0" xr:uid="{00000000-0006-0000-0000-000004000000}">
      <text>
        <r>
          <rPr>
            <b/>
            <sz val="7"/>
            <color indexed="81"/>
            <rFont val="Tahoma"/>
            <family val="2"/>
          </rPr>
          <t xml:space="preserve">Introduzca el número de Tablets de reparto que necesitará.
</t>
        </r>
      </text>
    </comment>
    <comment ref="G34" authorId="0" shapeId="0" xr:uid="{00000000-0006-0000-0000-000005000000}">
      <text>
        <r>
          <rPr>
            <b/>
            <sz val="7"/>
            <color indexed="81"/>
            <rFont val="Tahoma"/>
            <family val="2"/>
          </rPr>
          <t>Introduzca el número de jornadas de Formación que necesitará.</t>
        </r>
      </text>
    </comment>
  </commentList>
</comments>
</file>

<file path=xl/sharedStrings.xml><?xml version="1.0" encoding="utf-8"?>
<sst xmlns="http://schemas.openxmlformats.org/spreadsheetml/2006/main" count="200" uniqueCount="186">
  <si>
    <t>AUTOPRESUPUESTO</t>
  </si>
  <si>
    <r>
      <rPr>
        <b/>
        <sz val="14"/>
        <color theme="4"/>
        <rFont val="Tahoma"/>
        <family val="2"/>
      </rPr>
      <t>L</t>
    </r>
    <r>
      <rPr>
        <b/>
        <sz val="12"/>
        <rFont val="Tahoma"/>
        <family val="2"/>
      </rPr>
      <t>icencias de usuario :</t>
    </r>
  </si>
  <si>
    <r>
      <t>M</t>
    </r>
    <r>
      <rPr>
        <b/>
        <sz val="12"/>
        <rFont val="Tahoma"/>
        <family val="2"/>
      </rPr>
      <t>ódulos opcionales adicionales :</t>
    </r>
  </si>
  <si>
    <t>AP.tramo1</t>
  </si>
  <si>
    <t>AP.tramo2</t>
  </si>
  <si>
    <t>AP.tramo3</t>
  </si>
  <si>
    <t>AP.tramo4</t>
  </si>
  <si>
    <t>M1 Preventa Ajena :</t>
  </si>
  <si>
    <t>M2 Trans. Proveedor :</t>
  </si>
  <si>
    <t>M4 Terminal Venta alm. :</t>
  </si>
  <si>
    <t>MT.básica</t>
  </si>
  <si>
    <t>MT.tramo1</t>
  </si>
  <si>
    <t>MT.tramo2</t>
  </si>
  <si>
    <t>MT.tramo3</t>
  </si>
  <si>
    <t>MT.tramo4</t>
  </si>
  <si>
    <t>MT.M1</t>
  </si>
  <si>
    <t>MT.M2</t>
  </si>
  <si>
    <t>MT.M3</t>
  </si>
  <si>
    <t>MT.M4</t>
  </si>
  <si>
    <t>PRESUPUESTO</t>
  </si>
  <si>
    <t xml:space="preserve">Aplicación EDARI </t>
  </si>
  <si>
    <t xml:space="preserve">Módulos adicionales </t>
  </si>
  <si>
    <t xml:space="preserve">TOTAL PRESUPUESTO </t>
  </si>
  <si>
    <t>PR.básica</t>
  </si>
  <si>
    <t>PR.tramo1</t>
  </si>
  <si>
    <t>PR.tramo2</t>
  </si>
  <si>
    <t>PR.tramo3</t>
  </si>
  <si>
    <t>PR.tramo4</t>
  </si>
  <si>
    <t>PR.MT.básica</t>
  </si>
  <si>
    <t>PR.MT.tramo1</t>
  </si>
  <si>
    <t>PR.MT.tramo2</t>
  </si>
  <si>
    <t>PR.MT.tramo3</t>
  </si>
  <si>
    <t>PR.MT.tramo4</t>
  </si>
  <si>
    <t>.- Nº de usuarios que accederán simultáneamente a la Aplicación EDARI.</t>
  </si>
  <si>
    <t>Cuota de Mantenimiento mensual</t>
  </si>
  <si>
    <t>.- Estas dos primeras opciones, en caso de interesar,  se han de marcar e indicar el número de Proveedores que se enlazan.</t>
  </si>
  <si>
    <t>EL I.V.A. (21 %) NO ESTÁ INCLUÍDO EN NINGUNA DE LAS PARTIDAS.</t>
  </si>
  <si>
    <t>B01465046</t>
  </si>
  <si>
    <t xml:space="preserve">Portal de Gamarra, 1A Oficina 1305 </t>
  </si>
  <si>
    <t>01013  Vitoria-Gasteiz  (Álava)</t>
  </si>
  <si>
    <t>Tfno. : 945 21 42 00</t>
  </si>
  <si>
    <t>Presupuesto para :</t>
  </si>
  <si>
    <t>Nº Presupuesto :</t>
  </si>
  <si>
    <t xml:space="preserve">           </t>
  </si>
  <si>
    <t>Muy Señores nuestros:</t>
  </si>
  <si>
    <t>De acuerdo con las conversaciones mantenidas con Vds, nos es muy grato adjuntarles la oferta económica sobre los planteamientos efectuados a nuestro personal comercial y técnico, para una mejor solución a sus problemas tanto de Hardware como de Software.</t>
  </si>
  <si>
    <t>De tener cualquier duda a la solución aquí estudiada rogamos se pongan en contacto con nuestro departamento comercial o técnico.</t>
  </si>
  <si>
    <t>Dándoles las gracias de antemano y a la espera de sus noticias, aprovechamos esta ocasión para saludarles muy atentamente.</t>
  </si>
  <si>
    <t>EDARI Soluciones Informáticas, S.L.</t>
  </si>
  <si>
    <t xml:space="preserve"> </t>
  </si>
  <si>
    <t>Dpto. COMERCIAL</t>
  </si>
  <si>
    <t>APLICACIÓN EDARI BÁSICA</t>
  </si>
  <si>
    <t>Mantenimientos de Ficheros</t>
  </si>
  <si>
    <t>Movimientos de almacén</t>
  </si>
  <si>
    <t xml:space="preserve">  1.- Compras</t>
  </si>
  <si>
    <t xml:space="preserve">  2.- Movimientos</t>
  </si>
  <si>
    <t>Ventas</t>
  </si>
  <si>
    <t>Control de deudas y cartera de efectos</t>
  </si>
  <si>
    <t>Control de envases</t>
  </si>
  <si>
    <t>Control promociones a cargo fabricantes</t>
  </si>
  <si>
    <t>Estadísticas</t>
  </si>
  <si>
    <t>Contabilidad</t>
  </si>
  <si>
    <t>Inventarios</t>
  </si>
  <si>
    <t>Listados estadísticos</t>
  </si>
  <si>
    <t>Enlace con programas Standard Windows</t>
  </si>
  <si>
    <t xml:space="preserve">  1.- Excel</t>
  </si>
  <si>
    <t xml:space="preserve">  2.- Access</t>
  </si>
  <si>
    <t xml:space="preserve">  3.- Word</t>
  </si>
  <si>
    <t>Otros</t>
  </si>
  <si>
    <t>Aplicación EDARI básica :</t>
  </si>
  <si>
    <t>MÓDULOS ADICIONALES</t>
  </si>
  <si>
    <t>Televenta</t>
  </si>
  <si>
    <t>Terminal Venta Almacén</t>
  </si>
  <si>
    <t>Aplicación EDARI Básica :</t>
  </si>
  <si>
    <t>Módulos adicionales :</t>
  </si>
  <si>
    <t>Licencias de usuario :</t>
  </si>
  <si>
    <t>TOTAL PRESUPUESTO SOFTWARE :</t>
  </si>
  <si>
    <t>SOFTWARE SISTEMA</t>
  </si>
  <si>
    <t>RUNTIME COBOL</t>
  </si>
  <si>
    <t>Incluido</t>
  </si>
  <si>
    <t>ENLACE CON APLICACIONES OFIMATICAS</t>
  </si>
  <si>
    <t xml:space="preserve">RELATIVITY </t>
  </si>
  <si>
    <t>SOFTWARE EN EQUIPO CENTRAL</t>
  </si>
  <si>
    <t>- Programa de traspaso automatico a portatiles de la</t>
  </si>
  <si>
    <t xml:space="preserve">   información de cada Ruta / cliente</t>
  </si>
  <si>
    <t>- Programa de captación automatica de los pedidos y cobros</t>
  </si>
  <si>
    <t xml:space="preserve">  generados con los equipos portatiles</t>
  </si>
  <si>
    <t>SOFTWARE EN EQUIPOS PORTATILES</t>
  </si>
  <si>
    <t xml:space="preserve">   POR CLIENTE</t>
  </si>
  <si>
    <t xml:space="preserve">                - Control de Morosidad ( total facturas pendientes y</t>
  </si>
  <si>
    <t xml:space="preserve">                  detalle de las mismas</t>
  </si>
  <si>
    <t xml:space="preserve">                - Control de Artículos Consumidos.</t>
  </si>
  <si>
    <t xml:space="preserve">                - Promociones en vigor</t>
  </si>
  <si>
    <t xml:space="preserve">                - Descuentos Concertados.</t>
  </si>
  <si>
    <t>PROCESO COMERCIAL</t>
  </si>
  <si>
    <t xml:space="preserve">                - Recogida de Pedidos.</t>
  </si>
  <si>
    <t xml:space="preserve">                - Registro de Cobros atrasados.</t>
  </si>
  <si>
    <t>Software Preventa Propia en central :</t>
  </si>
  <si>
    <t>TOTAL PRESUPUESTO SOFTWARE PREVENTA PROPIA :</t>
  </si>
  <si>
    <t xml:space="preserve"> PRESUPUESTO</t>
  </si>
  <si>
    <t>Días de instalación y formación en su domicilio</t>
  </si>
  <si>
    <t>TOTAL PRESUPUESTO</t>
  </si>
  <si>
    <t>MANTENIMIENTO:</t>
  </si>
  <si>
    <t>Asistencia técnica de la aplicación Edari</t>
  </si>
  <si>
    <t>Actualizaciones y mejoras de la aplicación incluidas.</t>
  </si>
  <si>
    <t>Cuota mensual :</t>
  </si>
  <si>
    <r>
      <t>NOTA:</t>
    </r>
    <r>
      <rPr>
        <sz val="12"/>
        <color indexed="8"/>
        <rFont val="Arial"/>
        <family val="2"/>
      </rPr>
      <t xml:space="preserve"> 21% de IVA no incluido</t>
    </r>
  </si>
  <si>
    <t>FORMA DE PAGO</t>
  </si>
  <si>
    <t>INSTALACION</t>
  </si>
  <si>
    <t>VALIDEZ DEL PRESUPUESTO</t>
  </si>
  <si>
    <t>M5 Televenta</t>
  </si>
  <si>
    <t>M6 Control cargas/alm</t>
  </si>
  <si>
    <t>M3 Picking botelleo :</t>
  </si>
  <si>
    <t>M7 Picking alimentacion</t>
  </si>
  <si>
    <t>MT.M6</t>
  </si>
  <si>
    <t>MT.M7</t>
  </si>
  <si>
    <t>MT.M8</t>
  </si>
  <si>
    <t>MT.M5</t>
  </si>
  <si>
    <t>AP.básica tramo1</t>
  </si>
  <si>
    <t>AP.básica tramo2</t>
  </si>
  <si>
    <t>AP.básica tramo3</t>
  </si>
  <si>
    <t>AP.básica tramo4</t>
  </si>
  <si>
    <t>Acepto,en las condiciones expresadas, el Presupuesto nº :</t>
  </si>
  <si>
    <t xml:space="preserve">                  </t>
  </si>
  <si>
    <t xml:space="preserve">                A convenir entre las partes.</t>
  </si>
  <si>
    <t xml:space="preserve">                Plazo de validez del presupuesto 15 días.</t>
  </si>
  <si>
    <t>Control de almacén, recuento físico y cargas. Introduzca el número de terminales a instalar.</t>
  </si>
  <si>
    <t>Control almacén</t>
  </si>
  <si>
    <t>* NOTA : El presente Presupuesto es estimativo e informativo y no tiene carácter vinculante. Si está interesado en un Presupuesto Oficial póngase en contacto con EDARI Soluciones Informáticas, S.L. para conocer sus necesidades y proceder a su elaboración. GRACIAS.</t>
  </si>
  <si>
    <t>comercial@edari.com</t>
  </si>
  <si>
    <t>M9 Picking menaje</t>
  </si>
  <si>
    <t>M8 Picking refrigerado</t>
  </si>
  <si>
    <t>MT.M9</t>
  </si>
  <si>
    <t>Software Aplicación EDARI</t>
  </si>
  <si>
    <t>RM/COBOL Runtime (para Windows).</t>
  </si>
  <si>
    <r>
      <t xml:space="preserve">Relational Databridge DBMS </t>
    </r>
    <r>
      <rPr>
        <b/>
        <sz val="11"/>
        <color indexed="8"/>
        <rFont val="Arial"/>
        <family val="2"/>
      </rPr>
      <t>MONOPUESTO</t>
    </r>
  </si>
  <si>
    <t>Instalación y Formación</t>
  </si>
  <si>
    <t xml:space="preserve">                           Días de formación (mínimo 1 día) :</t>
  </si>
  <si>
    <r>
      <rPr>
        <b/>
        <sz val="12"/>
        <color rgb="FF0070C0"/>
        <rFont val="Tahoma"/>
        <family val="2"/>
      </rPr>
      <t>I</t>
    </r>
    <r>
      <rPr>
        <b/>
        <sz val="12"/>
        <color theme="1"/>
        <rFont val="Tahoma"/>
        <family val="2"/>
      </rPr>
      <t xml:space="preserve">nstalación y </t>
    </r>
    <r>
      <rPr>
        <b/>
        <sz val="12"/>
        <color rgb="FF0070C0"/>
        <rFont val="Tahoma"/>
        <family val="2"/>
      </rPr>
      <t>F</t>
    </r>
    <r>
      <rPr>
        <b/>
        <sz val="12"/>
        <color theme="1"/>
        <rFont val="Tahoma"/>
        <family val="2"/>
      </rPr>
      <t>ormación :</t>
    </r>
  </si>
  <si>
    <t>IF.tramo1</t>
  </si>
  <si>
    <t>IF.tramo2</t>
  </si>
  <si>
    <t>IF.tramo3</t>
  </si>
  <si>
    <t>Picking Automático (Botelleo)</t>
  </si>
  <si>
    <t>Preventa Ajena</t>
  </si>
  <si>
    <t>TR.básica</t>
  </si>
  <si>
    <t>TR.tramo1</t>
  </si>
  <si>
    <r>
      <t>A</t>
    </r>
    <r>
      <rPr>
        <b/>
        <sz val="12"/>
        <rFont val="Tahoma"/>
        <family val="2"/>
      </rPr>
      <t>utoventa / Preventa iGes :</t>
    </r>
  </si>
  <si>
    <t>Reparto iGes :</t>
  </si>
  <si>
    <t>Para terminales portátiles Android o iOS</t>
  </si>
  <si>
    <t>SOFTWARE AUTOVENTA/PREVENTA</t>
  </si>
  <si>
    <t>SOFTWARE REPARTO</t>
  </si>
  <si>
    <t xml:space="preserve">   información del reparto del día.</t>
  </si>
  <si>
    <t>- Programa de captación automatica de modificaciones y cobros</t>
  </si>
  <si>
    <t xml:space="preserve">                - Recogida de modificaciones.</t>
  </si>
  <si>
    <t xml:space="preserve">                - Registro de Cobros.</t>
  </si>
  <si>
    <t>Software reparto</t>
  </si>
  <si>
    <t>Software Autoventa/Preventa</t>
  </si>
  <si>
    <t>TR.tramo2</t>
  </si>
  <si>
    <t>TR.tramo3</t>
  </si>
  <si>
    <t>TR.tramo4</t>
  </si>
  <si>
    <t>TR.MT.básica</t>
  </si>
  <si>
    <t>TR.MT.tramo1</t>
  </si>
  <si>
    <t>TR.MT.tramo2</t>
  </si>
  <si>
    <t>TR.MT.tramo3</t>
  </si>
  <si>
    <t>TR.MT.tramo4</t>
  </si>
  <si>
    <t>TERMINALES REPARTO</t>
  </si>
  <si>
    <t>Autoventa/Preventa Android o iOS</t>
  </si>
  <si>
    <t>Reparto Android o iOS</t>
  </si>
  <si>
    <t>Edificio de Negocios Boulevard</t>
  </si>
  <si>
    <t>.- Nº de terminales de Preventa, Autoventa o Reparto que cargarán el Programa para la captura de pedidos o el reparto.</t>
  </si>
  <si>
    <t>Transmisión a Proveedores</t>
  </si>
  <si>
    <t>Control Almacén (ALLMA) y Cargas con terminal portátil</t>
  </si>
  <si>
    <t>Modelo relacional que permite el acceso (ODBC) a la base de datos de Edari: clientes, artículos, ventas, etc... desde programas standard Windows como son Excel, Access, Word, etc...</t>
  </si>
  <si>
    <t>del ERP, sin mantenimiento, que se facturará adicionalmente.</t>
  </si>
  <si>
    <t>Pago fraccionado en doce (12) meses sin intereses.</t>
  </si>
  <si>
    <t>Pago mensual durante 12 meses :</t>
  </si>
  <si>
    <t>ALAVA</t>
  </si>
  <si>
    <t xml:space="preserve">Tfno. : </t>
  </si>
  <si>
    <t xml:space="preserve">E-mail : </t>
  </si>
  <si>
    <t>Software Reparto en central :</t>
  </si>
  <si>
    <t>TOTAL PRESUPUESTO SOFTWARE REPARTO :</t>
  </si>
  <si>
    <t>OTSOAK CERVEZAS ARTESANAS</t>
  </si>
  <si>
    <t>Oreitiasolo Kalea, 15 - Pabellón 2</t>
  </si>
  <si>
    <t>01006  VITORIA-GASTEIZ</t>
  </si>
  <si>
    <t>A la atención de : Jon</t>
  </si>
  <si>
    <t>Suscripción uso ANUAL por dispositivo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</si>
</sst>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7" formatCode="#,##0.00\ &quot;€&quot;;\-#,##0.00\ &quot;€&quot;"/>
    <numFmt numFmtId="164" formatCode="_-* #,##0.00\ [$€]_-;\-* #,##0.00\ [$€]_-;_-* &quot;-&quot;??\ [$€]_-;_-@_-"/>
    <numFmt numFmtId="165" formatCode="#,##0.00\ &quot;€&quot;"/>
    <numFmt numFmtId="166" formatCode="_-* #,##0.00\ [$€-1]_-;\-* #,##0.00\ [$€-1]_-;_-* &quot;-&quot;??\ [$€-1]_-"/>
    <numFmt numFmtId="167" formatCode="d\-m;@"/>
    <numFmt numFmtId="168" formatCode="[$-F800]dddd\,\ mmmm\ dd\,\ yyyy"/>
    <numFmt numFmtId="169" formatCode="[$-C0A]d\ &quot;de&quot;\ mmmm\ &quot;de&quot;\ yyyy;@"/>
  </numFmts>
  <fonts count="37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b/>
      <sz val="10"/>
      <name val="Arial"/>
      <family val="2"/>
    </font>
    <font>
      <b/>
      <u val="double"/>
      <sz val="14"/>
      <color theme="1"/>
      <name val="Tahoma"/>
      <family val="2"/>
    </font>
    <font>
      <sz val="18"/>
      <color theme="1"/>
      <name val="Tahoma"/>
      <family val="2"/>
    </font>
    <font>
      <b/>
      <sz val="7"/>
      <color indexed="81"/>
      <name val="Tahoma"/>
      <family val="2"/>
    </font>
    <font>
      <sz val="14"/>
      <color theme="4"/>
      <name val="Tahoma"/>
      <family val="2"/>
    </font>
    <font>
      <b/>
      <sz val="14"/>
      <color theme="4"/>
      <name val="Tahoma"/>
      <family val="2"/>
    </font>
    <font>
      <b/>
      <sz val="12"/>
      <name val="Tahoma"/>
      <family val="2"/>
    </font>
    <font>
      <b/>
      <u/>
      <sz val="14"/>
      <color theme="1"/>
      <name val="Tahoma"/>
      <family val="2"/>
    </font>
    <font>
      <b/>
      <sz val="12"/>
      <color theme="1"/>
      <name val="Tahoma"/>
      <family val="2"/>
    </font>
    <font>
      <b/>
      <sz val="11"/>
      <color theme="1"/>
      <name val="Tahoma"/>
      <family val="2"/>
    </font>
    <font>
      <sz val="11"/>
      <color theme="1"/>
      <name val="Tahoma"/>
      <family val="2"/>
    </font>
    <font>
      <b/>
      <sz val="8"/>
      <color theme="1"/>
      <name val="Tahoma"/>
      <family val="2"/>
    </font>
    <font>
      <sz val="10"/>
      <name val="Arial"/>
      <family val="2"/>
    </font>
    <font>
      <b/>
      <sz val="10"/>
      <color rgb="FF1C5599"/>
      <name val="Arial"/>
      <family val="2"/>
    </font>
    <font>
      <sz val="10"/>
      <color indexed="8"/>
      <name val="Arial"/>
      <family val="2"/>
    </font>
    <font>
      <sz val="8"/>
      <color indexed="8"/>
      <name val="Arial"/>
      <family val="2"/>
    </font>
    <font>
      <sz val="9"/>
      <color indexed="8"/>
      <name val="Arial"/>
      <family val="2"/>
    </font>
    <font>
      <b/>
      <sz val="7"/>
      <color indexed="8"/>
      <name val="Arial"/>
      <family val="2"/>
    </font>
    <font>
      <b/>
      <sz val="9"/>
      <color indexed="8"/>
      <name val="Arial"/>
      <family val="2"/>
    </font>
    <font>
      <sz val="12"/>
      <color indexed="8"/>
      <name val="Arial"/>
      <family val="2"/>
    </font>
    <font>
      <b/>
      <sz val="14"/>
      <color indexed="8"/>
      <name val="Arial"/>
      <family val="2"/>
    </font>
    <font>
      <b/>
      <sz val="12"/>
      <color indexed="8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sz val="12"/>
      <name val="Times New Roman"/>
      <family val="1"/>
    </font>
    <font>
      <b/>
      <sz val="12"/>
      <name val="Arial"/>
      <family val="2"/>
    </font>
    <font>
      <sz val="12"/>
      <color theme="1"/>
      <name val="Tahoma"/>
      <family val="2"/>
    </font>
    <font>
      <u/>
      <sz val="10"/>
      <color theme="10"/>
      <name val="Tahoma"/>
      <family val="2"/>
    </font>
    <font>
      <b/>
      <sz val="12"/>
      <color rgb="FF0070C0"/>
      <name val="Arial"/>
      <family val="2"/>
    </font>
    <font>
      <b/>
      <sz val="12"/>
      <color rgb="FF0070C0"/>
      <name val="Tahoma"/>
      <family val="2"/>
    </font>
    <font>
      <b/>
      <sz val="14"/>
      <name val="Tahoma"/>
      <family val="2"/>
    </font>
    <font>
      <sz val="8"/>
      <color rgb="FF00000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24"/>
      </patternFill>
    </fill>
  </fills>
  <borders count="4">
    <border>
      <left/>
      <right/>
      <top/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/>
      <right/>
      <top/>
      <bottom style="thin">
        <color auto="1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15" fillId="0" borderId="0"/>
    <xf numFmtId="0" fontId="32" fillId="0" borderId="0" applyNumberFormat="0" applyFill="0" applyBorder="0" applyAlignment="0" applyProtection="0">
      <alignment vertical="top"/>
      <protection locked="0"/>
    </xf>
  </cellStyleXfs>
  <cellXfs count="141">
    <xf numFmtId="0" fontId="0" fillId="0" borderId="0" xfId="0"/>
    <xf numFmtId="0" fontId="0" fillId="0" borderId="0" xfId="0" applyBorder="1" applyAlignment="1"/>
    <xf numFmtId="0" fontId="0" fillId="0" borderId="0" xfId="0" applyBorder="1"/>
    <xf numFmtId="0" fontId="11" fillId="0" borderId="0" xfId="0" applyFont="1" applyAlignment="1"/>
    <xf numFmtId="0" fontId="0" fillId="0" borderId="0" xfId="0" applyAlignment="1"/>
    <xf numFmtId="7" fontId="11" fillId="0" borderId="0" xfId="1" applyNumberFormat="1" applyFont="1" applyAlignment="1">
      <alignment horizontal="center"/>
    </xf>
    <xf numFmtId="0" fontId="0" fillId="0" borderId="0" xfId="0" applyProtection="1">
      <protection locked="0"/>
    </xf>
    <xf numFmtId="1" fontId="2" fillId="0" borderId="0" xfId="0" applyNumberFormat="1" applyFont="1" applyBorder="1" applyAlignment="1">
      <alignment horizontal="left"/>
    </xf>
    <xf numFmtId="1" fontId="0" fillId="0" borderId="0" xfId="0" applyNumberFormat="1"/>
    <xf numFmtId="165" fontId="0" fillId="0" borderId="0" xfId="0" applyNumberFormat="1"/>
    <xf numFmtId="0" fontId="15" fillId="0" borderId="0" xfId="2"/>
    <xf numFmtId="0" fontId="17" fillId="3" borderId="0" xfId="2" applyFont="1" applyFill="1" applyBorder="1"/>
    <xf numFmtId="49" fontId="18" fillId="3" borderId="0" xfId="2" applyNumberFormat="1" applyFont="1" applyFill="1" applyBorder="1" applyAlignment="1">
      <alignment horizontal="left" vertical="top"/>
    </xf>
    <xf numFmtId="0" fontId="19" fillId="3" borderId="0" xfId="2" applyFont="1" applyFill="1" applyBorder="1" applyAlignment="1"/>
    <xf numFmtId="164" fontId="20" fillId="4" borderId="0" xfId="1" applyFont="1" applyFill="1" applyBorder="1" applyAlignment="1">
      <alignment horizontal="center" vertical="top"/>
    </xf>
    <xf numFmtId="0" fontId="18" fillId="3" borderId="0" xfId="2" applyFont="1" applyFill="1" applyBorder="1" applyAlignment="1">
      <alignment horizontal="left"/>
    </xf>
    <xf numFmtId="0" fontId="19" fillId="0" borderId="0" xfId="2" applyFont="1"/>
    <xf numFmtId="0" fontId="19" fillId="4" borderId="0" xfId="2" applyFont="1" applyFill="1" applyBorder="1" applyAlignment="1">
      <alignment horizontal="center"/>
    </xf>
    <xf numFmtId="0" fontId="17" fillId="4" borderId="0" xfId="2" applyFont="1" applyFill="1" applyBorder="1" applyAlignment="1"/>
    <xf numFmtId="0" fontId="18" fillId="4" borderId="0" xfId="2" applyFont="1" applyFill="1" applyBorder="1" applyAlignment="1">
      <alignment horizontal="left"/>
    </xf>
    <xf numFmtId="14" fontId="17" fillId="4" borderId="0" xfId="2" applyNumberFormat="1" applyFont="1" applyFill="1" applyBorder="1" applyAlignment="1">
      <alignment horizontal="center" vertical="top"/>
    </xf>
    <xf numFmtId="164" fontId="15" fillId="0" borderId="0" xfId="1" applyFont="1"/>
    <xf numFmtId="164" fontId="17" fillId="4" borderId="0" xfId="1" applyFont="1" applyFill="1" applyBorder="1" applyAlignment="1">
      <alignment horizontal="left"/>
    </xf>
    <xf numFmtId="49" fontId="17" fillId="3" borderId="0" xfId="2" applyNumberFormat="1" applyFont="1" applyFill="1" applyBorder="1" applyAlignment="1">
      <alignment horizontal="center" vertical="top"/>
    </xf>
    <xf numFmtId="0" fontId="17" fillId="3" borderId="0" xfId="2" applyFont="1" applyFill="1" applyBorder="1" applyAlignment="1">
      <alignment horizontal="center" vertical="top"/>
    </xf>
    <xf numFmtId="164" fontId="17" fillId="3" borderId="0" xfId="1" applyFont="1" applyFill="1" applyBorder="1" applyAlignment="1">
      <alignment horizontal="center" vertical="top"/>
    </xf>
    <xf numFmtId="0" fontId="22" fillId="3" borderId="0" xfId="2" applyFont="1" applyFill="1" applyBorder="1"/>
    <xf numFmtId="49" fontId="22" fillId="3" borderId="0" xfId="2" applyNumberFormat="1" applyFont="1" applyFill="1" applyBorder="1" applyAlignment="1">
      <alignment horizontal="justify" vertical="top" wrapText="1"/>
    </xf>
    <xf numFmtId="3" fontId="22" fillId="3" borderId="0" xfId="2" applyNumberFormat="1" applyFont="1" applyFill="1" applyBorder="1" applyAlignment="1">
      <alignment vertical="top"/>
    </xf>
    <xf numFmtId="2" fontId="22" fillId="3" borderId="0" xfId="2" applyNumberFormat="1" applyFont="1" applyFill="1" applyBorder="1" applyAlignment="1">
      <alignment vertical="top"/>
    </xf>
    <xf numFmtId="164" fontId="22" fillId="3" borderId="0" xfId="1" applyFont="1" applyFill="1" applyBorder="1" applyAlignment="1">
      <alignment vertical="top"/>
    </xf>
    <xf numFmtId="49" fontId="22" fillId="3" borderId="0" xfId="2" applyNumberFormat="1" applyFont="1" applyFill="1" applyBorder="1" applyAlignment="1">
      <alignment horizontal="right" vertical="top"/>
    </xf>
    <xf numFmtId="49" fontId="22" fillId="3" borderId="0" xfId="2" applyNumberFormat="1" applyFont="1" applyFill="1" applyBorder="1" applyAlignment="1">
      <alignment horizontal="justify" vertical="top"/>
    </xf>
    <xf numFmtId="164" fontId="22" fillId="3" borderId="0" xfId="1" applyFont="1" applyFill="1" applyBorder="1"/>
    <xf numFmtId="49" fontId="22" fillId="3" borderId="0" xfId="2" applyNumberFormat="1" applyFont="1" applyFill="1" applyBorder="1" applyAlignment="1">
      <alignment horizontal="justify" vertical="center"/>
    </xf>
    <xf numFmtId="3" fontId="22" fillId="3" borderId="0" xfId="2" applyNumberFormat="1" applyFont="1" applyFill="1" applyBorder="1" applyAlignment="1">
      <alignment horizontal="right" vertical="top"/>
    </xf>
    <xf numFmtId="49" fontId="22" fillId="3" borderId="0" xfId="2" applyNumberFormat="1" applyFont="1" applyFill="1" applyBorder="1" applyAlignment="1">
      <alignment horizontal="right" vertical="top" wrapText="1"/>
    </xf>
    <xf numFmtId="49" fontId="22" fillId="3" borderId="0" xfId="2" applyNumberFormat="1" applyFont="1" applyFill="1" applyBorder="1" applyAlignment="1">
      <alignment horizontal="center" vertical="top"/>
    </xf>
    <xf numFmtId="0" fontId="22" fillId="3" borderId="0" xfId="2" applyFont="1" applyFill="1" applyBorder="1" applyAlignment="1">
      <alignment horizontal="center" vertical="top"/>
    </xf>
    <xf numFmtId="164" fontId="22" fillId="3" borderId="0" xfId="1" applyFont="1" applyFill="1" applyBorder="1" applyAlignment="1">
      <alignment horizontal="center" vertical="top"/>
    </xf>
    <xf numFmtId="0" fontId="22" fillId="3" borderId="0" xfId="2" applyFont="1" applyFill="1" applyBorder="1" applyAlignment="1">
      <alignment horizontal="right" vertical="top"/>
    </xf>
    <xf numFmtId="49" fontId="23" fillId="3" borderId="0" xfId="2" applyNumberFormat="1" applyFont="1" applyFill="1" applyBorder="1" applyAlignment="1">
      <alignment horizontal="center" vertical="top" wrapText="1"/>
    </xf>
    <xf numFmtId="49" fontId="24" fillId="3" borderId="0" xfId="2" applyNumberFormat="1" applyFont="1" applyFill="1" applyBorder="1" applyAlignment="1">
      <alignment horizontal="justify" vertical="top" wrapText="1"/>
    </xf>
    <xf numFmtId="3" fontId="25" fillId="0" borderId="0" xfId="2" applyNumberFormat="1" applyFont="1" applyBorder="1"/>
    <xf numFmtId="164" fontId="15" fillId="0" borderId="0" xfId="1" applyFont="1" applyBorder="1"/>
    <xf numFmtId="3" fontId="25" fillId="0" borderId="0" xfId="2" applyNumberFormat="1" applyFont="1" applyFill="1" applyBorder="1"/>
    <xf numFmtId="164" fontId="15" fillId="0" borderId="0" xfId="1" applyFont="1" applyFill="1" applyBorder="1"/>
    <xf numFmtId="3" fontId="26" fillId="0" borderId="0" xfId="2" applyNumberFormat="1" applyFont="1" applyFill="1" applyBorder="1" applyAlignment="1">
      <alignment horizontal="center"/>
    </xf>
    <xf numFmtId="164" fontId="24" fillId="3" borderId="0" xfId="1" applyFont="1" applyFill="1" applyBorder="1" applyAlignment="1">
      <alignment vertical="top"/>
    </xf>
    <xf numFmtId="49" fontId="24" fillId="3" borderId="0" xfId="2" applyNumberFormat="1" applyFont="1" applyFill="1" applyBorder="1" applyAlignment="1">
      <alignment vertical="top" wrapText="1"/>
    </xf>
    <xf numFmtId="0" fontId="24" fillId="3" borderId="0" xfId="2" applyFont="1" applyFill="1" applyBorder="1" applyAlignment="1">
      <alignment horizontal="center" vertical="top"/>
    </xf>
    <xf numFmtId="49" fontId="24" fillId="3" borderId="0" xfId="2" applyNumberFormat="1" applyFont="1" applyFill="1" applyBorder="1" applyAlignment="1">
      <alignment horizontal="right" vertical="top" wrapText="1"/>
    </xf>
    <xf numFmtId="166" fontId="22" fillId="3" borderId="0" xfId="2" applyNumberFormat="1" applyFont="1" applyFill="1" applyBorder="1" applyAlignment="1">
      <alignment vertical="top"/>
    </xf>
    <xf numFmtId="49" fontId="22" fillId="3" borderId="0" xfId="2" applyNumberFormat="1" applyFont="1" applyFill="1" applyBorder="1" applyAlignment="1">
      <alignment vertical="top" wrapText="1"/>
    </xf>
    <xf numFmtId="166" fontId="24" fillId="3" borderId="0" xfId="2" applyNumberFormat="1" applyFont="1" applyFill="1" applyBorder="1" applyAlignment="1">
      <alignment horizontal="right" vertical="top"/>
    </xf>
    <xf numFmtId="49" fontId="27" fillId="3" borderId="0" xfId="2" applyNumberFormat="1" applyFont="1" applyFill="1" applyBorder="1" applyAlignment="1">
      <alignment horizontal="justify" vertical="center" wrapText="1"/>
    </xf>
    <xf numFmtId="166" fontId="22" fillId="3" borderId="0" xfId="2" applyNumberFormat="1" applyFont="1" applyFill="1" applyBorder="1" applyAlignment="1">
      <alignment horizontal="right" vertical="top"/>
    </xf>
    <xf numFmtId="49" fontId="28" fillId="3" borderId="0" xfId="2" applyNumberFormat="1" applyFont="1" applyFill="1" applyBorder="1" applyAlignment="1">
      <alignment horizontal="justify" vertical="center" wrapText="1"/>
    </xf>
    <xf numFmtId="49" fontId="28" fillId="3" borderId="0" xfId="2" applyNumberFormat="1" applyFont="1" applyFill="1" applyBorder="1" applyAlignment="1">
      <alignment horizontal="justify" vertical="top" wrapText="1"/>
    </xf>
    <xf numFmtId="49" fontId="28" fillId="3" borderId="0" xfId="2" applyNumberFormat="1" applyFont="1" applyFill="1" applyBorder="1" applyAlignment="1">
      <alignment horizontal="left" vertical="top" wrapText="1"/>
    </xf>
    <xf numFmtId="49" fontId="22" fillId="3" borderId="0" xfId="2" applyNumberFormat="1" applyFont="1" applyFill="1" applyBorder="1" applyAlignment="1">
      <alignment horizontal="left" vertical="top" wrapText="1"/>
    </xf>
    <xf numFmtId="49" fontId="24" fillId="3" borderId="0" xfId="2" applyNumberFormat="1" applyFont="1" applyFill="1" applyBorder="1" applyAlignment="1">
      <alignment horizontal="center" vertical="top" wrapText="1"/>
    </xf>
    <xf numFmtId="0" fontId="24" fillId="3" borderId="0" xfId="2" applyFont="1" applyFill="1" applyBorder="1"/>
    <xf numFmtId="0" fontId="29" fillId="0" borderId="0" xfId="2" applyFont="1"/>
    <xf numFmtId="166" fontId="22" fillId="3" borderId="0" xfId="2" applyNumberFormat="1" applyFont="1" applyFill="1" applyBorder="1"/>
    <xf numFmtId="0" fontId="29" fillId="0" borderId="0" xfId="2" applyFont="1" applyAlignment="1">
      <alignment wrapText="1"/>
    </xf>
    <xf numFmtId="0" fontId="24" fillId="3" borderId="0" xfId="2" applyFont="1" applyFill="1" applyBorder="1" applyAlignment="1">
      <alignment horizontal="right"/>
    </xf>
    <xf numFmtId="164" fontId="24" fillId="3" borderId="0" xfId="1" applyFont="1" applyFill="1" applyBorder="1"/>
    <xf numFmtId="0" fontId="22" fillId="3" borderId="0" xfId="2" applyFont="1" applyFill="1" applyBorder="1" applyAlignment="1">
      <alignment horizontal="justify" wrapText="1"/>
    </xf>
    <xf numFmtId="49" fontId="24" fillId="3" borderId="0" xfId="2" applyNumberFormat="1" applyFont="1" applyFill="1" applyBorder="1" applyAlignment="1">
      <alignment horizontal="right" vertical="top"/>
    </xf>
    <xf numFmtId="0" fontId="24" fillId="3" borderId="0" xfId="2" applyFont="1" applyFill="1" applyBorder="1" applyAlignment="1">
      <alignment horizontal="center"/>
    </xf>
    <xf numFmtId="3" fontId="30" fillId="0" borderId="0" xfId="2" applyNumberFormat="1" applyFont="1" applyFill="1" applyBorder="1" applyAlignment="1">
      <alignment horizontal="right"/>
    </xf>
    <xf numFmtId="164" fontId="30" fillId="0" borderId="0" xfId="1" applyFont="1" applyBorder="1"/>
    <xf numFmtId="164" fontId="28" fillId="3" borderId="0" xfId="1" applyFont="1" applyFill="1" applyBorder="1" applyAlignment="1">
      <alignment vertical="top"/>
    </xf>
    <xf numFmtId="0" fontId="0" fillId="0" borderId="0" xfId="0"/>
    <xf numFmtId="49" fontId="27" fillId="3" borderId="0" xfId="2" applyNumberFormat="1" applyFont="1" applyFill="1" applyBorder="1" applyAlignment="1">
      <alignment horizontal="right" vertical="top" wrapText="1"/>
    </xf>
    <xf numFmtId="167" fontId="21" fillId="4" borderId="0" xfId="2" applyNumberFormat="1" applyFont="1" applyFill="1" applyBorder="1" applyAlignment="1">
      <alignment horizontal="center"/>
    </xf>
    <xf numFmtId="168" fontId="22" fillId="3" borderId="0" xfId="2" applyNumberFormat="1" applyFont="1" applyFill="1" applyBorder="1" applyAlignment="1">
      <alignment horizontal="left"/>
    </xf>
    <xf numFmtId="0" fontId="22" fillId="3" borderId="0" xfId="2" applyFont="1" applyFill="1" applyBorder="1" applyAlignment="1">
      <alignment horizontal="left"/>
    </xf>
    <xf numFmtId="169" fontId="22" fillId="3" borderId="0" xfId="2" applyNumberFormat="1" applyFont="1" applyFill="1" applyBorder="1" applyAlignment="1">
      <alignment horizontal="left"/>
    </xf>
    <xf numFmtId="167" fontId="31" fillId="0" borderId="0" xfId="0" applyNumberFormat="1" applyFont="1" applyAlignment="1">
      <alignment horizontal="left"/>
    </xf>
    <xf numFmtId="0" fontId="0" fillId="0" borderId="0" xfId="0" applyAlignment="1">
      <alignment horizontal="center"/>
    </xf>
    <xf numFmtId="164" fontId="33" fillId="3" borderId="0" xfId="1" applyFont="1" applyFill="1" applyBorder="1" applyAlignment="1">
      <alignment vertical="top"/>
    </xf>
    <xf numFmtId="164" fontId="33" fillId="3" borderId="0" xfId="1" applyFont="1" applyFill="1" applyBorder="1"/>
    <xf numFmtId="0" fontId="0" fillId="0" borderId="0" xfId="0"/>
    <xf numFmtId="0" fontId="11" fillId="0" borderId="0" xfId="0" applyFont="1" applyAlignment="1"/>
    <xf numFmtId="0" fontId="0" fillId="0" borderId="0" xfId="0" applyAlignment="1"/>
    <xf numFmtId="0" fontId="0" fillId="0" borderId="0" xfId="0"/>
    <xf numFmtId="0" fontId="12" fillId="0" borderId="0" xfId="0" applyFont="1" applyBorder="1" applyAlignment="1">
      <alignment horizontal="left"/>
    </xf>
    <xf numFmtId="1" fontId="24" fillId="3" borderId="0" xfId="2" applyNumberFormat="1" applyFont="1" applyFill="1" applyBorder="1" applyAlignment="1">
      <alignment horizontal="center" vertical="top"/>
    </xf>
    <xf numFmtId="0" fontId="0" fillId="0" borderId="0" xfId="0"/>
    <xf numFmtId="0" fontId="0" fillId="0" borderId="0" xfId="0"/>
    <xf numFmtId="0" fontId="22" fillId="3" borderId="0" xfId="2" applyFont="1" applyFill="1" applyBorder="1" applyAlignment="1">
      <alignment horizontal="right"/>
    </xf>
    <xf numFmtId="0" fontId="0" fillId="0" borderId="0" xfId="0"/>
    <xf numFmtId="0" fontId="11" fillId="0" borderId="0" xfId="0" applyFont="1" applyAlignment="1"/>
    <xf numFmtId="0" fontId="0" fillId="0" borderId="0" xfId="0" applyAlignment="1"/>
    <xf numFmtId="0" fontId="0" fillId="0" borderId="0" xfId="0" applyBorder="1" applyAlignment="1">
      <alignment horizontal="left" vertical="top" wrapText="1"/>
    </xf>
    <xf numFmtId="0" fontId="7" fillId="0" borderId="0" xfId="0" applyFont="1" applyBorder="1" applyAlignment="1"/>
    <xf numFmtId="0" fontId="11" fillId="0" borderId="0" xfId="0" applyFont="1" applyBorder="1"/>
    <xf numFmtId="0" fontId="0" fillId="0" borderId="0" xfId="0"/>
    <xf numFmtId="0" fontId="0" fillId="0" borderId="0" xfId="0" applyBorder="1" applyAlignment="1">
      <alignment horizontal="left" vertical="top" wrapText="1"/>
    </xf>
    <xf numFmtId="0" fontId="0" fillId="0" borderId="0" xfId="0" applyBorder="1" applyAlignment="1">
      <alignment horizontal="justify" vertical="top" wrapText="1"/>
    </xf>
    <xf numFmtId="0" fontId="0" fillId="0" borderId="0" xfId="0"/>
    <xf numFmtId="0" fontId="8" fillId="0" borderId="0" xfId="0" applyFont="1" applyBorder="1" applyAlignment="1"/>
    <xf numFmtId="0" fontId="35" fillId="0" borderId="0" xfId="0" applyFont="1" applyBorder="1" applyAlignment="1"/>
    <xf numFmtId="0" fontId="0" fillId="0" borderId="0" xfId="0"/>
    <xf numFmtId="0" fontId="15" fillId="0" borderId="0" xfId="2"/>
    <xf numFmtId="0" fontId="0" fillId="0" borderId="0" xfId="0"/>
    <xf numFmtId="0" fontId="0" fillId="0" borderId="3" xfId="0" applyBorder="1"/>
    <xf numFmtId="0" fontId="0" fillId="0" borderId="0" xfId="0" applyBorder="1" applyAlignment="1">
      <alignment horizontal="left" vertical="top" wrapText="1"/>
    </xf>
    <xf numFmtId="0" fontId="8" fillId="0" borderId="0" xfId="0" applyFont="1" applyBorder="1" applyAlignment="1"/>
    <xf numFmtId="0" fontId="7" fillId="0" borderId="0" xfId="0" applyFont="1" applyBorder="1" applyAlignment="1"/>
    <xf numFmtId="0" fontId="0" fillId="0" borderId="2" xfId="0" applyBorder="1" applyAlignment="1">
      <alignment horizontal="left" vertical="top" wrapText="1"/>
    </xf>
    <xf numFmtId="0" fontId="10" fillId="0" borderId="0" xfId="0" applyFont="1" applyAlignment="1">
      <alignment horizontal="center" wrapText="1"/>
    </xf>
    <xf numFmtId="22" fontId="3" fillId="0" borderId="0" xfId="0" applyNumberFormat="1" applyFont="1" applyFill="1" applyBorder="1" applyAlignment="1">
      <alignment horizontal="center" vertical="top" readingOrder="1"/>
    </xf>
    <xf numFmtId="0" fontId="2" fillId="0" borderId="0" xfId="0" applyFont="1" applyAlignment="1">
      <alignment horizontal="center" vertical="top" readingOrder="1"/>
    </xf>
    <xf numFmtId="0" fontId="4" fillId="0" borderId="0" xfId="0" applyFont="1" applyAlignment="1">
      <alignment horizontal="center" vertical="top" wrapText="1"/>
    </xf>
    <xf numFmtId="1" fontId="5" fillId="2" borderId="0" xfId="0" applyNumberFormat="1" applyFont="1" applyFill="1" applyBorder="1" applyAlignment="1">
      <alignment vertical="top" wrapText="1"/>
    </xf>
    <xf numFmtId="0" fontId="0" fillId="0" borderId="0" xfId="0" applyBorder="1" applyAlignment="1">
      <alignment horizontal="justify" vertical="top" wrapText="1"/>
    </xf>
    <xf numFmtId="0" fontId="11" fillId="0" borderId="0" xfId="0" applyFont="1" applyBorder="1"/>
    <xf numFmtId="1" fontId="5" fillId="2" borderId="1" xfId="0" applyNumberFormat="1" applyFont="1" applyFill="1" applyBorder="1" applyAlignment="1">
      <alignment vertical="top" wrapText="1"/>
    </xf>
    <xf numFmtId="0" fontId="35" fillId="0" borderId="0" xfId="0" applyFont="1" applyBorder="1" applyAlignment="1"/>
    <xf numFmtId="0" fontId="14" fillId="0" borderId="0" xfId="0" applyFont="1" applyBorder="1" applyAlignment="1">
      <alignment horizontal="justify" vertical="top"/>
    </xf>
    <xf numFmtId="0" fontId="14" fillId="0" borderId="0" xfId="0" applyFont="1" applyAlignment="1">
      <alignment horizontal="justify" vertical="top" wrapText="1"/>
    </xf>
    <xf numFmtId="7" fontId="11" fillId="0" borderId="0" xfId="1" applyNumberFormat="1" applyFont="1" applyAlignment="1">
      <alignment horizontal="center"/>
    </xf>
    <xf numFmtId="165" fontId="11" fillId="0" borderId="0" xfId="0" applyNumberFormat="1" applyFont="1" applyAlignment="1">
      <alignment horizontal="center"/>
    </xf>
    <xf numFmtId="0" fontId="2" fillId="0" borderId="0" xfId="0" applyFont="1" applyAlignment="1"/>
    <xf numFmtId="0" fontId="11" fillId="0" borderId="0" xfId="0" applyFont="1" applyAlignment="1"/>
    <xf numFmtId="0" fontId="0" fillId="0" borderId="0" xfId="0" applyAlignment="1"/>
    <xf numFmtId="0" fontId="12" fillId="0" borderId="0" xfId="0" applyFont="1" applyAlignment="1"/>
    <xf numFmtId="0" fontId="13" fillId="0" borderId="0" xfId="0" applyFont="1" applyAlignment="1"/>
    <xf numFmtId="7" fontId="0" fillId="0" borderId="0" xfId="1" applyNumberFormat="1" applyFont="1" applyAlignment="1">
      <alignment horizontal="center"/>
    </xf>
    <xf numFmtId="0" fontId="11" fillId="0" borderId="0" xfId="0" applyFont="1" applyAlignment="1">
      <alignment horizontal="right"/>
    </xf>
    <xf numFmtId="0" fontId="0" fillId="0" borderId="0" xfId="0" applyAlignment="1">
      <alignment horizontal="right"/>
    </xf>
    <xf numFmtId="0" fontId="0" fillId="0" borderId="0" xfId="0" applyFill="1" applyBorder="1" applyAlignment="1"/>
    <xf numFmtId="0" fontId="0" fillId="0" borderId="0" xfId="0"/>
    <xf numFmtId="0" fontId="2" fillId="0" borderId="0" xfId="0" applyFont="1" applyAlignment="1">
      <alignment horizontal="center"/>
    </xf>
    <xf numFmtId="0" fontId="32" fillId="3" borderId="0" xfId="3" applyFill="1" applyBorder="1" applyAlignment="1" applyProtection="1"/>
    <xf numFmtId="0" fontId="17" fillId="3" borderId="0" xfId="2" applyFont="1" applyFill="1" applyBorder="1"/>
    <xf numFmtId="0" fontId="15" fillId="0" borderId="0" xfId="2"/>
    <xf numFmtId="0" fontId="16" fillId="3" borderId="0" xfId="2" applyFont="1" applyFill="1" applyBorder="1"/>
  </cellXfs>
  <cellStyles count="4">
    <cellStyle name="Euro" xfId="1" xr:uid="{00000000-0005-0000-0000-000000000000}"/>
    <cellStyle name="Hyperlink" xfId="3" builtinId="8"/>
    <cellStyle name="Normal" xfId="0" builtinId="0"/>
    <cellStyle name="Normal 2" xfId="2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Label" lockText="1"/>
</file>

<file path=xl/ctrlProps/ctrlProp10.xml><?xml version="1.0" encoding="utf-8"?>
<formControlPr xmlns="http://schemas.microsoft.com/office/spreadsheetml/2009/9/main" objectType="CheckBox" fmlaLink="Auxiliar!$C$5" lockText="1"/>
</file>

<file path=xl/ctrlProps/ctrlProp11.xml><?xml version="1.0" encoding="utf-8"?>
<formControlPr xmlns="http://schemas.microsoft.com/office/spreadsheetml/2009/9/main" objectType="CheckBox" fmlaLink="Auxiliar!$C$7" lockText="1"/>
</file>

<file path=xl/ctrlProps/ctrlProp12.xml><?xml version="1.0" encoding="utf-8"?>
<formControlPr xmlns="http://schemas.microsoft.com/office/spreadsheetml/2009/9/main" objectType="CheckBox" fmlaLink="Auxiliar!$C$8" lockText="1"/>
</file>

<file path=xl/ctrlProps/ctrlProp13.xml><?xml version="1.0" encoding="utf-8"?>
<formControlPr xmlns="http://schemas.microsoft.com/office/spreadsheetml/2009/9/main" objectType="Spin" dx="15" fmlaLink="$E$22" max="150" page="10" val="0"/>
</file>

<file path=xl/ctrlProps/ctrlProp14.xml><?xml version="1.0" encoding="utf-8"?>
<formControlPr xmlns="http://schemas.microsoft.com/office/spreadsheetml/2009/9/main" objectType="CheckBox" fmlaLink="Auxiliar!$C$9" lockText="1"/>
</file>

<file path=xl/ctrlProps/ctrlProp15.xml><?xml version="1.0" encoding="utf-8"?>
<formControlPr xmlns="http://schemas.microsoft.com/office/spreadsheetml/2009/9/main" objectType="Spin" dx="15" fmlaLink="$G$34" max="150" page="10" val="0"/>
</file>

<file path=xl/ctrlProps/ctrlProp16.xml><?xml version="1.0" encoding="utf-8"?>
<formControlPr xmlns="http://schemas.microsoft.com/office/spreadsheetml/2009/9/main" objectType="Spin" dx="15" fmlaLink="$H$29" max="150" page="10" val="0"/>
</file>

<file path=xl/ctrlProps/ctrlProp2.xml><?xml version="1.0" encoding="utf-8"?>
<formControlPr xmlns="http://schemas.microsoft.com/office/spreadsheetml/2009/9/main" objectType="Spin" dx="15" fmlaLink="$A$9" max="150" min="1" page="10"/>
</file>

<file path=xl/ctrlProps/ctrlProp3.xml><?xml version="1.0" encoding="utf-8"?>
<formControlPr xmlns="http://schemas.microsoft.com/office/spreadsheetml/2009/9/main" objectType="CheckBox" fmlaLink="Auxiliar!$C$1" lockText="1"/>
</file>

<file path=xl/ctrlProps/ctrlProp4.xml><?xml version="1.0" encoding="utf-8"?>
<formControlPr xmlns="http://schemas.microsoft.com/office/spreadsheetml/2009/9/main" objectType="Spin" dx="15" fmlaLink="$C$16" max="15" page="10" val="0"/>
</file>

<file path=xl/ctrlProps/ctrlProp5.xml><?xml version="1.0" encoding="utf-8"?>
<formControlPr xmlns="http://schemas.microsoft.com/office/spreadsheetml/2009/9/main" objectType="CheckBox" fmlaLink="Auxiliar!$C$2" lockText="1"/>
</file>

<file path=xl/ctrlProps/ctrlProp6.xml><?xml version="1.0" encoding="utf-8"?>
<formControlPr xmlns="http://schemas.microsoft.com/office/spreadsheetml/2009/9/main" objectType="Spin" dx="15" fmlaLink="$F$16" max="15" page="10" val="0"/>
</file>

<file path=xl/ctrlProps/ctrlProp7.xml><?xml version="1.0" encoding="utf-8"?>
<formControlPr xmlns="http://schemas.microsoft.com/office/spreadsheetml/2009/9/main" objectType="CheckBox" fmlaLink="Auxiliar!$C$3" lockText="1"/>
</file>

<file path=xl/ctrlProps/ctrlProp8.xml><?xml version="1.0" encoding="utf-8"?>
<formControlPr xmlns="http://schemas.microsoft.com/office/spreadsheetml/2009/9/main" objectType="CheckBox" fmlaLink="Auxiliar!$C$4" lockText="1"/>
</file>

<file path=xl/ctrlProps/ctrlProp9.xml><?xml version="1.0" encoding="utf-8"?>
<formControlPr xmlns="http://schemas.microsoft.com/office/spreadsheetml/2009/9/main" objectType="Spin" dx="15" fmlaLink="$A$29" max="150" page="10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66675</xdr:rowOff>
    </xdr:from>
    <xdr:to>
      <xdr:col>3</xdr:col>
      <xdr:colOff>114301</xdr:colOff>
      <xdr:row>5</xdr:row>
      <xdr:rowOff>47625</xdr:rowOff>
    </xdr:to>
    <xdr:pic>
      <xdr:nvPicPr>
        <xdr:cNvPr id="4" name="3 Imagen" descr="LogoEdari.bmp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100" y="66675"/>
          <a:ext cx="2362201" cy="790575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95250</xdr:colOff>
          <xdr:row>0</xdr:row>
          <xdr:rowOff>38100</xdr:rowOff>
        </xdr:from>
        <xdr:to>
          <xdr:col>4</xdr:col>
          <xdr:colOff>552450</xdr:colOff>
          <xdr:row>0</xdr:row>
          <xdr:rowOff>190500</xdr:rowOff>
        </xdr:to>
        <xdr:sp macro="" textlink="">
          <xdr:nvSpPr>
            <xdr:cNvPr id="33793" name="Label 32769" hidden="1">
              <a:extLst>
                <a:ext uri="{63B3BB69-23CF-44E3-9099-C40C66FF867C}">
                  <a14:compatExt spid="_x0000_s33793"/>
                </a:ext>
                <a:ext uri="{FF2B5EF4-FFF2-40B4-BE49-F238E27FC236}">
                  <a16:creationId xmlns:a16="http://schemas.microsoft.com/office/drawing/2014/main" id="{00000000-0008-0000-0000-0000018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0" anchor="t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Fecha :</a:t>
              </a:r>
            </a:p>
            <a:p>
              <a:pPr algn="l" rtl="0">
                <a:defRPr sz="1000"/>
              </a:pPr>
              <a:endParaRPr lang="es-ES"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38100</xdr:colOff>
          <xdr:row>8</xdr:row>
          <xdr:rowOff>38100</xdr:rowOff>
        </xdr:from>
        <xdr:to>
          <xdr:col>1</xdr:col>
          <xdr:colOff>219075</xdr:colOff>
          <xdr:row>9</xdr:row>
          <xdr:rowOff>142875</xdr:rowOff>
        </xdr:to>
        <xdr:sp macro="" textlink="">
          <xdr:nvSpPr>
            <xdr:cNvPr id="33796" name="Spinner 32772" hidden="1">
              <a:extLst>
                <a:ext uri="{63B3BB69-23CF-44E3-9099-C40C66FF867C}">
                  <a14:compatExt spid="_x0000_s33796"/>
                </a:ext>
                <a:ext uri="{FF2B5EF4-FFF2-40B4-BE49-F238E27FC236}">
                  <a16:creationId xmlns:a16="http://schemas.microsoft.com/office/drawing/2014/main" id="{00000000-0008-0000-0000-0000048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533400</xdr:colOff>
          <xdr:row>14</xdr:row>
          <xdr:rowOff>152400</xdr:rowOff>
        </xdr:from>
        <xdr:to>
          <xdr:col>1</xdr:col>
          <xdr:colOff>714375</xdr:colOff>
          <xdr:row>16</xdr:row>
          <xdr:rowOff>28575</xdr:rowOff>
        </xdr:to>
        <xdr:sp macro="" textlink="">
          <xdr:nvSpPr>
            <xdr:cNvPr id="33797" name="Check Box 32773" descr="Preventa ajena" hidden="1">
              <a:extLst>
                <a:ext uri="{63B3BB69-23CF-44E3-9099-C40C66FF867C}">
                  <a14:compatExt spid="_x0000_s33797"/>
                </a:ext>
                <a:ext uri="{FF2B5EF4-FFF2-40B4-BE49-F238E27FC236}">
                  <a16:creationId xmlns:a16="http://schemas.microsoft.com/office/drawing/2014/main" id="{00000000-0008-0000-0000-0000058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Preventa ajena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228600</xdr:colOff>
          <xdr:row>14</xdr:row>
          <xdr:rowOff>142875</xdr:rowOff>
        </xdr:from>
        <xdr:to>
          <xdr:col>2</xdr:col>
          <xdr:colOff>476250</xdr:colOff>
          <xdr:row>16</xdr:row>
          <xdr:rowOff>66675</xdr:rowOff>
        </xdr:to>
        <xdr:sp macro="" textlink="">
          <xdr:nvSpPr>
            <xdr:cNvPr id="33798" name="Spinner 32774" hidden="1">
              <a:extLst>
                <a:ext uri="{63B3BB69-23CF-44E3-9099-C40C66FF867C}">
                  <a14:compatExt spid="_x0000_s33798"/>
                </a:ext>
                <a:ext uri="{FF2B5EF4-FFF2-40B4-BE49-F238E27FC236}">
                  <a16:creationId xmlns:a16="http://schemas.microsoft.com/office/drawing/2014/main" id="{00000000-0008-0000-0000-0000068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</xdr:col>
          <xdr:colOff>19050</xdr:colOff>
          <xdr:row>14</xdr:row>
          <xdr:rowOff>152400</xdr:rowOff>
        </xdr:from>
        <xdr:to>
          <xdr:col>4</xdr:col>
          <xdr:colOff>714375</xdr:colOff>
          <xdr:row>16</xdr:row>
          <xdr:rowOff>28575</xdr:rowOff>
        </xdr:to>
        <xdr:sp macro="" textlink="">
          <xdr:nvSpPr>
            <xdr:cNvPr id="33799" name="Check Box 32775" descr="Transmisión a Proveedor" hidden="1">
              <a:extLst>
                <a:ext uri="{63B3BB69-23CF-44E3-9099-C40C66FF867C}">
                  <a14:compatExt spid="_x0000_s33799"/>
                </a:ext>
                <a:ext uri="{FF2B5EF4-FFF2-40B4-BE49-F238E27FC236}">
                  <a16:creationId xmlns:a16="http://schemas.microsoft.com/office/drawing/2014/main" id="{00000000-0008-0000-0000-0000078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Transmisión a Proveedor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5</xdr:col>
          <xdr:colOff>257175</xdr:colOff>
          <xdr:row>14</xdr:row>
          <xdr:rowOff>142875</xdr:rowOff>
        </xdr:from>
        <xdr:to>
          <xdr:col>5</xdr:col>
          <xdr:colOff>504825</xdr:colOff>
          <xdr:row>16</xdr:row>
          <xdr:rowOff>66675</xdr:rowOff>
        </xdr:to>
        <xdr:sp macro="" textlink="">
          <xdr:nvSpPr>
            <xdr:cNvPr id="33800" name="Spinner 32776" hidden="1">
              <a:extLst>
                <a:ext uri="{63B3BB69-23CF-44E3-9099-C40C66FF867C}">
                  <a14:compatExt spid="_x0000_s33800"/>
                </a:ext>
                <a:ext uri="{FF2B5EF4-FFF2-40B4-BE49-F238E27FC236}">
                  <a16:creationId xmlns:a16="http://schemas.microsoft.com/office/drawing/2014/main" id="{00000000-0008-0000-0000-0000088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180975</xdr:colOff>
          <xdr:row>17</xdr:row>
          <xdr:rowOff>142875</xdr:rowOff>
        </xdr:from>
        <xdr:to>
          <xdr:col>2</xdr:col>
          <xdr:colOff>219075</xdr:colOff>
          <xdr:row>19</xdr:row>
          <xdr:rowOff>38100</xdr:rowOff>
        </xdr:to>
        <xdr:sp macro="" textlink="">
          <xdr:nvSpPr>
            <xdr:cNvPr id="33801" name="Check Box 32777" descr="Picking automático" hidden="1">
              <a:extLst>
                <a:ext uri="{63B3BB69-23CF-44E3-9099-C40C66FF867C}">
                  <a14:compatExt spid="_x0000_s33801"/>
                </a:ext>
                <a:ext uri="{FF2B5EF4-FFF2-40B4-BE49-F238E27FC236}">
                  <a16:creationId xmlns:a16="http://schemas.microsoft.com/office/drawing/2014/main" id="{00000000-0008-0000-0000-0000098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Picking automático Botelleo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180975</xdr:colOff>
          <xdr:row>21</xdr:row>
          <xdr:rowOff>142875</xdr:rowOff>
        </xdr:from>
        <xdr:to>
          <xdr:col>1</xdr:col>
          <xdr:colOff>733425</xdr:colOff>
          <xdr:row>23</xdr:row>
          <xdr:rowOff>38100</xdr:rowOff>
        </xdr:to>
        <xdr:sp macro="" textlink="">
          <xdr:nvSpPr>
            <xdr:cNvPr id="33802" name="Check Box 32778" descr="Terminal Venta Almacén" hidden="1">
              <a:extLst>
                <a:ext uri="{63B3BB69-23CF-44E3-9099-C40C66FF867C}">
                  <a14:compatExt spid="_x0000_s33802"/>
                </a:ext>
                <a:ext uri="{FF2B5EF4-FFF2-40B4-BE49-F238E27FC236}">
                  <a16:creationId xmlns:a16="http://schemas.microsoft.com/office/drawing/2014/main" id="{00000000-0008-0000-0000-00000A8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Terminal Venta Almacén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38100</xdr:colOff>
          <xdr:row>28</xdr:row>
          <xdr:rowOff>28575</xdr:rowOff>
        </xdr:from>
        <xdr:to>
          <xdr:col>1</xdr:col>
          <xdr:colOff>219075</xdr:colOff>
          <xdr:row>29</xdr:row>
          <xdr:rowOff>133350</xdr:rowOff>
        </xdr:to>
        <xdr:sp macro="" textlink="">
          <xdr:nvSpPr>
            <xdr:cNvPr id="33805" name="Spinner 32781" hidden="1">
              <a:extLst>
                <a:ext uri="{63B3BB69-23CF-44E3-9099-C40C66FF867C}">
                  <a14:compatExt spid="_x0000_s33805"/>
                </a:ext>
                <a:ext uri="{FF2B5EF4-FFF2-40B4-BE49-F238E27FC236}">
                  <a16:creationId xmlns:a16="http://schemas.microsoft.com/office/drawing/2014/main" id="{00000000-0008-0000-0000-00000D8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180975</xdr:colOff>
          <xdr:row>22</xdr:row>
          <xdr:rowOff>142875</xdr:rowOff>
        </xdr:from>
        <xdr:to>
          <xdr:col>1</xdr:col>
          <xdr:colOff>523875</xdr:colOff>
          <xdr:row>24</xdr:row>
          <xdr:rowOff>38100</xdr:rowOff>
        </xdr:to>
        <xdr:sp macro="" textlink="">
          <xdr:nvSpPr>
            <xdr:cNvPr id="33806" name="Check Box 32782" descr="Picking automático" hidden="1">
              <a:extLst>
                <a:ext uri="{63B3BB69-23CF-44E3-9099-C40C66FF867C}">
                  <a14:compatExt spid="_x0000_s33806"/>
                </a:ext>
                <a:ext uri="{FF2B5EF4-FFF2-40B4-BE49-F238E27FC236}">
                  <a16:creationId xmlns:a16="http://schemas.microsoft.com/office/drawing/2014/main" id="{00000000-0008-0000-0000-00000E8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Televenta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180975</xdr:colOff>
          <xdr:row>18</xdr:row>
          <xdr:rowOff>142875</xdr:rowOff>
        </xdr:from>
        <xdr:to>
          <xdr:col>2</xdr:col>
          <xdr:colOff>447675</xdr:colOff>
          <xdr:row>20</xdr:row>
          <xdr:rowOff>38100</xdr:rowOff>
        </xdr:to>
        <xdr:sp macro="" textlink="">
          <xdr:nvSpPr>
            <xdr:cNvPr id="33808" name="Check Box 32784" descr="Picking automático" hidden="1">
              <a:extLst>
                <a:ext uri="{63B3BB69-23CF-44E3-9099-C40C66FF867C}">
                  <a14:compatExt spid="_x0000_s33808"/>
                </a:ext>
                <a:ext uri="{FF2B5EF4-FFF2-40B4-BE49-F238E27FC236}">
                  <a16:creationId xmlns:a16="http://schemas.microsoft.com/office/drawing/2014/main" id="{00000000-0008-0000-0000-0000108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Picking automático Alimentación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180975</xdr:colOff>
          <xdr:row>19</xdr:row>
          <xdr:rowOff>142875</xdr:rowOff>
        </xdr:from>
        <xdr:to>
          <xdr:col>2</xdr:col>
          <xdr:colOff>447675</xdr:colOff>
          <xdr:row>21</xdr:row>
          <xdr:rowOff>38100</xdr:rowOff>
        </xdr:to>
        <xdr:sp macro="" textlink="">
          <xdr:nvSpPr>
            <xdr:cNvPr id="33809" name="Check Box 32785" descr="Picking automático" hidden="1">
              <a:extLst>
                <a:ext uri="{63B3BB69-23CF-44E3-9099-C40C66FF867C}">
                  <a14:compatExt spid="_x0000_s33809"/>
                </a:ext>
                <a:ext uri="{FF2B5EF4-FFF2-40B4-BE49-F238E27FC236}">
                  <a16:creationId xmlns:a16="http://schemas.microsoft.com/office/drawing/2014/main" id="{00000000-0008-0000-0000-0000118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Picking automático Refrigerado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552450</xdr:colOff>
          <xdr:row>21</xdr:row>
          <xdr:rowOff>28575</xdr:rowOff>
        </xdr:from>
        <xdr:to>
          <xdr:col>3</xdr:col>
          <xdr:colOff>733425</xdr:colOff>
          <xdr:row>22</xdr:row>
          <xdr:rowOff>133350</xdr:rowOff>
        </xdr:to>
        <xdr:sp macro="" textlink="">
          <xdr:nvSpPr>
            <xdr:cNvPr id="33810" name="Spinner 32786" hidden="1">
              <a:extLst>
                <a:ext uri="{63B3BB69-23CF-44E3-9099-C40C66FF867C}">
                  <a14:compatExt spid="_x0000_s33810"/>
                </a:ext>
                <a:ext uri="{FF2B5EF4-FFF2-40B4-BE49-F238E27FC236}">
                  <a16:creationId xmlns:a16="http://schemas.microsoft.com/office/drawing/2014/main" id="{00000000-0008-0000-0000-0000128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180975</xdr:colOff>
          <xdr:row>20</xdr:row>
          <xdr:rowOff>142875</xdr:rowOff>
        </xdr:from>
        <xdr:to>
          <xdr:col>2</xdr:col>
          <xdr:colOff>219075</xdr:colOff>
          <xdr:row>22</xdr:row>
          <xdr:rowOff>38100</xdr:rowOff>
        </xdr:to>
        <xdr:sp macro="" textlink="">
          <xdr:nvSpPr>
            <xdr:cNvPr id="33812" name="Check Box 32788" descr="Picking automático" hidden="1">
              <a:extLst>
                <a:ext uri="{63B3BB69-23CF-44E3-9099-C40C66FF867C}">
                  <a14:compatExt spid="_x0000_s33812"/>
                </a:ext>
                <a:ext uri="{FF2B5EF4-FFF2-40B4-BE49-F238E27FC236}">
                  <a16:creationId xmlns:a16="http://schemas.microsoft.com/office/drawing/2014/main" id="{00000000-0008-0000-0000-0000148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Picking automático Menaje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657225</xdr:colOff>
          <xdr:row>33</xdr:row>
          <xdr:rowOff>47625</xdr:rowOff>
        </xdr:from>
        <xdr:to>
          <xdr:col>5</xdr:col>
          <xdr:colOff>838200</xdr:colOff>
          <xdr:row>34</xdr:row>
          <xdr:rowOff>123825</xdr:rowOff>
        </xdr:to>
        <xdr:sp macro="" textlink="">
          <xdr:nvSpPr>
            <xdr:cNvPr id="33814" name="Spinner 32790" hidden="1">
              <a:extLst>
                <a:ext uri="{63B3BB69-23CF-44E3-9099-C40C66FF867C}">
                  <a14:compatExt spid="_x0000_s33814"/>
                </a:ext>
                <a:ext uri="{FF2B5EF4-FFF2-40B4-BE49-F238E27FC236}">
                  <a16:creationId xmlns:a16="http://schemas.microsoft.com/office/drawing/2014/main" id="{00000000-0008-0000-0000-0000168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38100</xdr:colOff>
          <xdr:row>28</xdr:row>
          <xdr:rowOff>28575</xdr:rowOff>
        </xdr:from>
        <xdr:to>
          <xdr:col>8</xdr:col>
          <xdr:colOff>219075</xdr:colOff>
          <xdr:row>29</xdr:row>
          <xdr:rowOff>133350</xdr:rowOff>
        </xdr:to>
        <xdr:sp macro="" textlink="">
          <xdr:nvSpPr>
            <xdr:cNvPr id="33818" name="Spinner 32794" hidden="1">
              <a:extLst>
                <a:ext uri="{63B3BB69-23CF-44E3-9099-C40C66FF867C}">
                  <a14:compatExt spid="_x0000_s33818"/>
                </a:ext>
                <a:ext uri="{FF2B5EF4-FFF2-40B4-BE49-F238E27FC236}">
                  <a16:creationId xmlns:a16="http://schemas.microsoft.com/office/drawing/2014/main" id="{00000000-0008-0000-0000-00001A8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 fLocksWithSheet="0"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85724</xdr:colOff>
      <xdr:row>0</xdr:row>
      <xdr:rowOff>104775</xdr:rowOff>
    </xdr:from>
    <xdr:to>
      <xdr:col>1</xdr:col>
      <xdr:colOff>1457325</xdr:colOff>
      <xdr:row>5</xdr:row>
      <xdr:rowOff>85725</xdr:rowOff>
    </xdr:to>
    <xdr:pic>
      <xdr:nvPicPr>
        <xdr:cNvPr id="2" name="1 Imagen" descr="LogoEdari.bmp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4" y="104775"/>
          <a:ext cx="2362201" cy="7905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omments" Target="../comments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comercial@edari.com" TargetMode="External"/><Relationship Id="rId4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I58"/>
  <sheetViews>
    <sheetView tabSelected="1" zoomScale="86" zoomScaleNormal="86" workbookViewId="0">
      <selection activeCell="F46" sqref="F46:G46"/>
    </sheetView>
  </sheetViews>
  <sheetFormatPr defaultColWidth="11.42578125" defaultRowHeight="12.75" x14ac:dyDescent="0.2"/>
  <cols>
    <col min="6" max="6" width="13.85546875" bestFit="1" customWidth="1"/>
  </cols>
  <sheetData>
    <row r="1" spans="1:9" x14ac:dyDescent="0.2">
      <c r="E1" s="114">
        <f ca="1">NOW()</f>
        <v>44209.58211851852</v>
      </c>
      <c r="F1" s="115"/>
      <c r="G1" s="115"/>
    </row>
    <row r="2" spans="1:9" x14ac:dyDescent="0.2">
      <c r="E2" s="115"/>
      <c r="F2" s="115"/>
      <c r="G2" s="115"/>
    </row>
    <row r="4" spans="1:9" x14ac:dyDescent="0.2">
      <c r="B4">
        <v>1</v>
      </c>
      <c r="D4" s="116" t="s">
        <v>0</v>
      </c>
      <c r="E4" s="116"/>
      <c r="F4" s="116"/>
    </row>
    <row r="5" spans="1:9" x14ac:dyDescent="0.2">
      <c r="D5" s="116"/>
      <c r="E5" s="116"/>
      <c r="F5" s="116"/>
    </row>
    <row r="7" spans="1:9" ht="18" x14ac:dyDescent="0.25">
      <c r="A7" s="110" t="s">
        <v>1</v>
      </c>
      <c r="B7" s="111"/>
      <c r="C7" s="111"/>
      <c r="D7" s="111"/>
      <c r="E7" s="111"/>
      <c r="F7" s="111"/>
      <c r="G7" s="111"/>
    </row>
    <row r="8" spans="1:9" x14ac:dyDescent="0.2">
      <c r="A8" s="2"/>
      <c r="B8" s="2"/>
      <c r="C8" s="2"/>
      <c r="D8" s="2"/>
      <c r="E8" s="2"/>
      <c r="F8" s="2"/>
      <c r="G8" s="2"/>
    </row>
    <row r="9" spans="1:9" x14ac:dyDescent="0.2">
      <c r="A9" s="117">
        <v>1</v>
      </c>
      <c r="B9" s="2"/>
      <c r="C9" s="118" t="s">
        <v>33</v>
      </c>
      <c r="D9" s="118"/>
      <c r="E9" s="118"/>
      <c r="F9" s="118"/>
      <c r="G9" s="2"/>
    </row>
    <row r="10" spans="1:9" x14ac:dyDescent="0.2">
      <c r="A10" s="117"/>
      <c r="B10" s="2"/>
      <c r="C10" s="118"/>
      <c r="D10" s="118"/>
      <c r="E10" s="118"/>
      <c r="F10" s="118"/>
      <c r="G10" s="2"/>
    </row>
    <row r="11" spans="1:9" x14ac:dyDescent="0.2">
      <c r="A11" s="108"/>
      <c r="B11" s="108"/>
      <c r="C11" s="108"/>
      <c r="D11" s="108"/>
      <c r="E11" s="108"/>
      <c r="F11" s="108"/>
      <c r="G11" s="108"/>
      <c r="H11" s="108"/>
      <c r="I11" s="108"/>
    </row>
    <row r="12" spans="1:9" ht="18" x14ac:dyDescent="0.25">
      <c r="A12" s="110" t="s">
        <v>2</v>
      </c>
      <c r="B12" s="111"/>
      <c r="C12" s="111"/>
      <c r="D12" s="111"/>
      <c r="E12" s="111"/>
      <c r="F12" s="111"/>
      <c r="G12" s="111"/>
    </row>
    <row r="13" spans="1:9" ht="12.75" customHeight="1" x14ac:dyDescent="0.25">
      <c r="A13" s="103"/>
      <c r="B13" s="97"/>
      <c r="C13" s="97"/>
      <c r="D13" s="97"/>
      <c r="E13" s="97"/>
      <c r="F13" s="97"/>
      <c r="G13" s="97"/>
    </row>
    <row r="14" spans="1:9" x14ac:dyDescent="0.2">
      <c r="A14" s="122" t="s">
        <v>35</v>
      </c>
      <c r="B14" s="122"/>
      <c r="C14" s="122"/>
      <c r="D14" s="122"/>
      <c r="E14" s="122"/>
      <c r="F14" s="122"/>
      <c r="G14" s="122"/>
      <c r="H14" s="122"/>
      <c r="I14" s="122"/>
    </row>
    <row r="15" spans="1:9" ht="12.75" customHeight="1" x14ac:dyDescent="0.2">
      <c r="A15" s="2"/>
      <c r="B15" s="1"/>
      <c r="C15" s="7"/>
      <c r="D15" s="2"/>
      <c r="E15" s="1"/>
      <c r="F15" s="7"/>
      <c r="G15" s="2"/>
    </row>
    <row r="16" spans="1:9" ht="14.25" x14ac:dyDescent="0.2">
      <c r="A16" s="2"/>
      <c r="B16" s="2"/>
      <c r="C16" s="88">
        <v>0</v>
      </c>
      <c r="D16" s="2"/>
      <c r="E16" s="2"/>
      <c r="F16" s="88">
        <v>0</v>
      </c>
      <c r="G16" s="2"/>
    </row>
    <row r="17" spans="1:9" x14ac:dyDescent="0.2">
      <c r="A17" s="108"/>
      <c r="B17" s="108"/>
      <c r="C17" s="108"/>
      <c r="D17" s="108"/>
      <c r="E17" s="108"/>
      <c r="F17" s="108"/>
      <c r="G17" s="108"/>
      <c r="H17" s="108"/>
      <c r="I17" s="108"/>
    </row>
    <row r="18" spans="1:9" x14ac:dyDescent="0.2">
      <c r="A18" s="2"/>
      <c r="B18" s="2"/>
      <c r="C18" s="2"/>
      <c r="D18" s="2"/>
      <c r="E18" s="2"/>
      <c r="F18" s="2"/>
      <c r="G18" s="2"/>
    </row>
    <row r="19" spans="1:9" x14ac:dyDescent="0.2">
      <c r="A19" s="2"/>
      <c r="B19" s="2"/>
      <c r="C19" s="2"/>
      <c r="D19" s="2"/>
      <c r="E19" s="2"/>
      <c r="F19" s="2"/>
      <c r="G19" s="2"/>
    </row>
    <row r="20" spans="1:9" x14ac:dyDescent="0.2">
      <c r="A20" s="2"/>
      <c r="B20" s="2"/>
      <c r="C20" s="2"/>
      <c r="D20" s="2"/>
      <c r="E20" s="2"/>
      <c r="F20" s="109" t="s">
        <v>126</v>
      </c>
      <c r="G20" s="109"/>
    </row>
    <row r="21" spans="1:9" ht="12.75" customHeight="1" x14ac:dyDescent="0.2">
      <c r="A21" s="2"/>
      <c r="B21" s="2"/>
      <c r="C21" s="2"/>
      <c r="D21" s="96"/>
      <c r="E21" s="96"/>
      <c r="F21" s="109"/>
      <c r="G21" s="109"/>
    </row>
    <row r="22" spans="1:9" ht="12.75" customHeight="1" x14ac:dyDescent="0.2">
      <c r="A22" s="2"/>
      <c r="B22" s="2"/>
      <c r="C22" s="2"/>
      <c r="D22" s="96"/>
      <c r="E22" s="117">
        <v>0</v>
      </c>
      <c r="F22" s="109"/>
      <c r="G22" s="109"/>
    </row>
    <row r="23" spans="1:9" ht="12.75" customHeight="1" x14ac:dyDescent="0.2">
      <c r="A23" s="2"/>
      <c r="B23" s="2"/>
      <c r="C23" s="2"/>
      <c r="D23" s="96"/>
      <c r="E23" s="117"/>
      <c r="F23" s="109"/>
      <c r="G23" s="109"/>
    </row>
    <row r="24" spans="1:9" s="102" customFormat="1" ht="12.75" customHeight="1" x14ac:dyDescent="0.2">
      <c r="A24" s="2"/>
      <c r="B24" s="2"/>
      <c r="C24" s="2"/>
      <c r="D24" s="100"/>
      <c r="E24" s="100"/>
      <c r="F24" s="100"/>
      <c r="G24" s="100"/>
    </row>
    <row r="25" spans="1:9" s="102" customFormat="1" ht="12.75" customHeight="1" x14ac:dyDescent="0.2">
      <c r="A25" s="108"/>
      <c r="B25" s="108"/>
      <c r="C25" s="108"/>
      <c r="D25" s="108"/>
      <c r="E25" s="108"/>
      <c r="F25" s="108"/>
      <c r="G25" s="108"/>
      <c r="H25" s="108"/>
      <c r="I25" s="108"/>
    </row>
    <row r="26" spans="1:9" s="102" customFormat="1" ht="12.75" customHeight="1" x14ac:dyDescent="0.2">
      <c r="A26" s="2"/>
      <c r="B26" s="2"/>
      <c r="C26" s="2"/>
      <c r="D26" s="100"/>
      <c r="E26" s="100"/>
      <c r="F26" s="100"/>
      <c r="G26" s="100"/>
    </row>
    <row r="27" spans="1:9" ht="18" customHeight="1" x14ac:dyDescent="0.25">
      <c r="A27" s="121" t="s">
        <v>146</v>
      </c>
      <c r="B27" s="121"/>
      <c r="C27" s="121"/>
      <c r="D27" s="121"/>
      <c r="E27" s="97"/>
      <c r="F27" s="104"/>
      <c r="G27" s="121" t="s">
        <v>147</v>
      </c>
      <c r="H27" s="121"/>
      <c r="I27" s="121"/>
    </row>
    <row r="28" spans="1:9" ht="12.75" customHeight="1" x14ac:dyDescent="0.2">
      <c r="A28" s="2"/>
      <c r="B28" s="2"/>
      <c r="C28" s="2"/>
      <c r="D28" s="2"/>
      <c r="E28" s="2"/>
      <c r="F28" s="2"/>
      <c r="G28" s="2"/>
    </row>
    <row r="29" spans="1:9" ht="12.75" customHeight="1" x14ac:dyDescent="0.2">
      <c r="A29" s="117">
        <v>0</v>
      </c>
      <c r="B29" s="2"/>
      <c r="C29" s="118" t="s">
        <v>169</v>
      </c>
      <c r="D29" s="118"/>
      <c r="E29" s="118"/>
      <c r="F29" s="118"/>
      <c r="H29" s="117">
        <v>0</v>
      </c>
    </row>
    <row r="30" spans="1:9" ht="12.75" customHeight="1" x14ac:dyDescent="0.2">
      <c r="A30" s="117"/>
      <c r="B30" s="2"/>
      <c r="C30" s="118"/>
      <c r="D30" s="118"/>
      <c r="E30" s="118"/>
      <c r="F30" s="118"/>
      <c r="H30" s="117"/>
    </row>
    <row r="31" spans="1:9" s="87" customFormat="1" x14ac:dyDescent="0.2">
      <c r="A31" s="2"/>
      <c r="B31" s="2"/>
      <c r="C31" s="118"/>
      <c r="D31" s="118"/>
      <c r="E31" s="118"/>
      <c r="F31" s="118"/>
      <c r="G31" s="2"/>
    </row>
    <row r="32" spans="1:9" s="102" customFormat="1" x14ac:dyDescent="0.2">
      <c r="A32" s="108"/>
      <c r="B32" s="108"/>
      <c r="C32" s="108"/>
      <c r="D32" s="108"/>
      <c r="E32" s="108"/>
      <c r="F32" s="108"/>
      <c r="G32" s="108"/>
      <c r="H32" s="108"/>
      <c r="I32" s="108"/>
    </row>
    <row r="33" spans="1:9" s="102" customFormat="1" x14ac:dyDescent="0.2">
      <c r="A33" s="2"/>
      <c r="B33" s="2"/>
      <c r="C33" s="101"/>
      <c r="D33" s="101"/>
      <c r="E33" s="101"/>
      <c r="F33" s="101"/>
      <c r="G33" s="2"/>
    </row>
    <row r="34" spans="1:9" s="87" customFormat="1" ht="15" x14ac:dyDescent="0.2">
      <c r="A34" s="119" t="s">
        <v>138</v>
      </c>
      <c r="B34" s="119"/>
      <c r="C34" s="119"/>
      <c r="D34" s="119"/>
      <c r="E34" s="119"/>
      <c r="F34" s="98"/>
      <c r="G34" s="120">
        <v>0</v>
      </c>
    </row>
    <row r="35" spans="1:9" s="87" customFormat="1" ht="12.75" customHeight="1" x14ac:dyDescent="0.2">
      <c r="A35" s="2"/>
      <c r="B35" s="2"/>
      <c r="C35" s="109" t="s">
        <v>137</v>
      </c>
      <c r="D35" s="109"/>
      <c r="E35" s="109"/>
      <c r="F35" s="112"/>
      <c r="G35" s="120"/>
    </row>
    <row r="36" spans="1:9" x14ac:dyDescent="0.2">
      <c r="A36" s="108"/>
      <c r="B36" s="108"/>
      <c r="C36" s="108"/>
      <c r="D36" s="108"/>
      <c r="E36" s="108"/>
      <c r="F36" s="108"/>
      <c r="G36" s="108"/>
      <c r="H36" s="108"/>
      <c r="I36" s="108"/>
    </row>
    <row r="37" spans="1:9" s="102" customFormat="1" x14ac:dyDescent="0.2">
      <c r="A37" s="2"/>
      <c r="B37" s="2"/>
      <c r="C37" s="2"/>
      <c r="D37" s="2"/>
      <c r="E37" s="2"/>
      <c r="F37" s="2"/>
      <c r="G37" s="2"/>
    </row>
    <row r="38" spans="1:9" ht="18" x14ac:dyDescent="0.25">
      <c r="C38" s="113" t="s">
        <v>19</v>
      </c>
      <c r="D38" s="113"/>
      <c r="E38" s="113"/>
    </row>
    <row r="40" spans="1:9" ht="15" x14ac:dyDescent="0.2">
      <c r="B40" s="127" t="s">
        <v>20</v>
      </c>
      <c r="C40" s="128"/>
      <c r="D40" s="128"/>
      <c r="E40" s="128"/>
      <c r="F40" s="124">
        <f>Auxiliar!J19</f>
        <v>1250</v>
      </c>
      <c r="G40" s="131"/>
    </row>
    <row r="42" spans="1:9" ht="15" x14ac:dyDescent="0.2">
      <c r="B42" s="127" t="s">
        <v>21</v>
      </c>
      <c r="C42" s="128"/>
      <c r="D42" s="128"/>
      <c r="E42" s="128"/>
      <c r="F42" s="124">
        <f>SUM(Auxiliar!E1:'Auxiliar'!E9)</f>
        <v>0</v>
      </c>
      <c r="G42" s="124"/>
    </row>
    <row r="43" spans="1:9" ht="15" x14ac:dyDescent="0.2">
      <c r="B43" s="3"/>
      <c r="C43" s="4"/>
      <c r="D43" s="4"/>
      <c r="E43" s="4"/>
      <c r="F43" s="5"/>
      <c r="G43" s="5"/>
    </row>
    <row r="44" spans="1:9" ht="15" x14ac:dyDescent="0.2">
      <c r="B44" s="127" t="s">
        <v>166</v>
      </c>
      <c r="C44" s="128"/>
      <c r="D44" s="128"/>
      <c r="E44" s="128"/>
      <c r="F44" s="124">
        <f>IF(PDAS&gt;0,Auxiliar!G38,0)</f>
        <v>0</v>
      </c>
      <c r="G44" s="124"/>
    </row>
    <row r="45" spans="1:9" ht="15" x14ac:dyDescent="0.2">
      <c r="B45" s="3"/>
      <c r="C45" s="4"/>
      <c r="D45" s="4"/>
      <c r="E45" s="4"/>
      <c r="F45" s="4"/>
      <c r="G45" s="4"/>
      <c r="H45" s="4"/>
    </row>
    <row r="46" spans="1:9" s="99" customFormat="1" ht="15" x14ac:dyDescent="0.2">
      <c r="B46" s="127" t="s">
        <v>167</v>
      </c>
      <c r="C46" s="127"/>
      <c r="D46" s="127"/>
      <c r="E46" s="127"/>
      <c r="F46" s="124">
        <f>IF(TRep&gt;0,Auxiliar!G60,0)</f>
        <v>0</v>
      </c>
      <c r="G46" s="124"/>
      <c r="H46" s="95"/>
    </row>
    <row r="47" spans="1:9" s="99" customFormat="1" ht="15" x14ac:dyDescent="0.2">
      <c r="B47" s="94"/>
      <c r="C47" s="95"/>
      <c r="D47" s="95"/>
      <c r="E47" s="95"/>
      <c r="F47" s="95"/>
      <c r="G47" s="95"/>
      <c r="H47" s="95"/>
    </row>
    <row r="48" spans="1:9" s="87" customFormat="1" ht="15" x14ac:dyDescent="0.2">
      <c r="B48" s="127" t="s">
        <v>136</v>
      </c>
      <c r="C48" s="127"/>
      <c r="D48" s="127"/>
      <c r="E48" s="127"/>
      <c r="F48" s="125">
        <f>Auxiliar!F54</f>
        <v>0</v>
      </c>
      <c r="G48" s="125"/>
      <c r="H48" s="86"/>
    </row>
    <row r="49" spans="1:8" s="87" customFormat="1" ht="15" x14ac:dyDescent="0.2">
      <c r="B49" s="85"/>
      <c r="C49" s="86"/>
      <c r="D49" s="86"/>
      <c r="E49" s="86"/>
      <c r="F49" s="86"/>
      <c r="G49" s="86"/>
      <c r="H49" s="86"/>
    </row>
    <row r="50" spans="1:8" ht="15" x14ac:dyDescent="0.2">
      <c r="B50" s="132" t="s">
        <v>22</v>
      </c>
      <c r="C50" s="133"/>
      <c r="D50" s="133"/>
      <c r="E50" s="133"/>
      <c r="F50" s="125">
        <f>F40+F42+F44+F48</f>
        <v>1250</v>
      </c>
      <c r="G50" s="125"/>
      <c r="H50" s="4"/>
    </row>
    <row r="52" spans="1:8" ht="15" x14ac:dyDescent="0.2">
      <c r="B52" s="129" t="s">
        <v>34</v>
      </c>
      <c r="C52" s="130"/>
      <c r="D52" s="130"/>
      <c r="E52" s="130"/>
      <c r="F52" s="124">
        <f>Auxiliar!F33+Auxiliar!F43+Auxiliar!F50+Auxiliar!F65</f>
        <v>140</v>
      </c>
      <c r="G52" s="124"/>
    </row>
    <row r="54" spans="1:8" x14ac:dyDescent="0.2">
      <c r="A54" s="126" t="s">
        <v>36</v>
      </c>
      <c r="B54" s="126"/>
      <c r="C54" s="126"/>
      <c r="D54" s="126"/>
      <c r="E54" s="126"/>
      <c r="F54" s="126"/>
      <c r="G54" s="126"/>
    </row>
    <row r="56" spans="1:8" x14ac:dyDescent="0.2">
      <c r="A56" s="123" t="s">
        <v>128</v>
      </c>
      <c r="B56" s="123"/>
      <c r="C56" s="123"/>
      <c r="D56" s="123"/>
      <c r="E56" s="123"/>
      <c r="F56" s="123"/>
      <c r="G56" s="123"/>
    </row>
    <row r="57" spans="1:8" x14ac:dyDescent="0.2">
      <c r="A57" s="123"/>
      <c r="B57" s="123"/>
      <c r="C57" s="123"/>
      <c r="D57" s="123"/>
      <c r="E57" s="123"/>
      <c r="F57" s="123"/>
      <c r="G57" s="123"/>
    </row>
    <row r="58" spans="1:8" x14ac:dyDescent="0.2">
      <c r="A58" s="123"/>
      <c r="B58" s="123"/>
      <c r="C58" s="123"/>
      <c r="D58" s="123"/>
      <c r="E58" s="123"/>
      <c r="F58" s="123"/>
      <c r="G58" s="123"/>
    </row>
  </sheetData>
  <sheetProtection selectLockedCells="1" selectUnlockedCells="1"/>
  <mergeCells count="39">
    <mergeCell ref="A56:G58"/>
    <mergeCell ref="F44:G44"/>
    <mergeCell ref="F50:G50"/>
    <mergeCell ref="A54:G54"/>
    <mergeCell ref="B40:E40"/>
    <mergeCell ref="B42:E42"/>
    <mergeCell ref="B52:E52"/>
    <mergeCell ref="F40:G40"/>
    <mergeCell ref="F42:G42"/>
    <mergeCell ref="F52:G52"/>
    <mergeCell ref="B44:E44"/>
    <mergeCell ref="B50:E50"/>
    <mergeCell ref="B46:E46"/>
    <mergeCell ref="F46:G46"/>
    <mergeCell ref="B48:E48"/>
    <mergeCell ref="F48:G48"/>
    <mergeCell ref="C38:E38"/>
    <mergeCell ref="E1:G2"/>
    <mergeCell ref="D4:F5"/>
    <mergeCell ref="A9:A10"/>
    <mergeCell ref="A7:G7"/>
    <mergeCell ref="A29:A30"/>
    <mergeCell ref="C9:F10"/>
    <mergeCell ref="E22:E23"/>
    <mergeCell ref="A34:E34"/>
    <mergeCell ref="G34:G35"/>
    <mergeCell ref="A27:D27"/>
    <mergeCell ref="A14:I14"/>
    <mergeCell ref="A17:I17"/>
    <mergeCell ref="C29:F31"/>
    <mergeCell ref="G27:I27"/>
    <mergeCell ref="H29:H30"/>
    <mergeCell ref="A11:I11"/>
    <mergeCell ref="A25:I25"/>
    <mergeCell ref="A32:I32"/>
    <mergeCell ref="A36:I36"/>
    <mergeCell ref="F20:G23"/>
    <mergeCell ref="A12:G12"/>
    <mergeCell ref="C35:F35"/>
  </mergeCells>
  <conditionalFormatting sqref="A9">
    <cfRule type="iconSet" priority="6">
      <iconSet iconSet="5Rating">
        <cfvo type="percent" val="0"/>
        <cfvo type="num" val="1"/>
        <cfvo type="num" val="5" gte="0"/>
        <cfvo type="num" val="10" gte="0"/>
        <cfvo type="num" val="20" gte="0"/>
      </iconSet>
    </cfRule>
  </conditionalFormatting>
  <conditionalFormatting sqref="A29">
    <cfRule type="iconSet" priority="5">
      <iconSet iconSet="5Rating">
        <cfvo type="percent" val="0"/>
        <cfvo type="num" val="1"/>
        <cfvo type="num" val="5" gte="0"/>
        <cfvo type="num" val="10" gte="0"/>
        <cfvo type="num" val="25" gte="0"/>
      </iconSet>
    </cfRule>
  </conditionalFormatting>
  <conditionalFormatting sqref="E22">
    <cfRule type="iconSet" priority="4">
      <iconSet iconSet="5Rating">
        <cfvo type="percent" val="0"/>
        <cfvo type="num" val="1"/>
        <cfvo type="num" val="5" gte="0"/>
        <cfvo type="num" val="10" gte="0"/>
        <cfvo type="num" val="25" gte="0"/>
      </iconSet>
    </cfRule>
  </conditionalFormatting>
  <conditionalFormatting sqref="G34">
    <cfRule type="iconSet" priority="3">
      <iconSet iconSet="5Rating">
        <cfvo type="percent" val="0"/>
        <cfvo type="num" val="1"/>
        <cfvo type="num" val="2" gte="0"/>
        <cfvo type="num" val="5"/>
        <cfvo type="num" val="5" gte="0"/>
      </iconSet>
    </cfRule>
  </conditionalFormatting>
  <conditionalFormatting sqref="H29">
    <cfRule type="iconSet" priority="1">
      <iconSet iconSet="5Rating">
        <cfvo type="percent" val="0"/>
        <cfvo type="num" val="1"/>
        <cfvo type="num" val="5" gte="0"/>
        <cfvo type="num" val="10" gte="0"/>
        <cfvo type="num" val="25" gte="0"/>
      </iconSet>
    </cfRule>
  </conditionalFormatting>
  <pageMargins left="0.11811023622047245" right="0.11811023622047245" top="0.15748031496062992" bottom="0.15748031496062992" header="0.11811023622047245" footer="0.11811023622047245"/>
  <pageSetup paperSize="9" orientation="portrait" horizontalDpi="300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3793" r:id="rId4" name="Label 32769">
              <controlPr defaultSize="0" autoFill="0" autoLine="0" autoPict="0">
                <anchor moveWithCells="1" sizeWithCells="1">
                  <from>
                    <xdr:col>4</xdr:col>
                    <xdr:colOff>95250</xdr:colOff>
                    <xdr:row>0</xdr:row>
                    <xdr:rowOff>38100</xdr:rowOff>
                  </from>
                  <to>
                    <xdr:col>4</xdr:col>
                    <xdr:colOff>552450</xdr:colOff>
                    <xdr:row>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96" r:id="rId5" name="Spinner 32772">
              <controlPr locked="0" defaultSize="0" print="0" autoPict="0">
                <anchor moveWithCells="1" sizeWithCells="1">
                  <from>
                    <xdr:col>1</xdr:col>
                    <xdr:colOff>38100</xdr:colOff>
                    <xdr:row>8</xdr:row>
                    <xdr:rowOff>38100</xdr:rowOff>
                  </from>
                  <to>
                    <xdr:col>1</xdr:col>
                    <xdr:colOff>219075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97" r:id="rId6" name="Check Box 32773">
              <controlPr defaultSize="0" autoFill="0" autoLine="0" autoPict="0" altText="Preventa ajena">
                <anchor>
                  <from>
                    <xdr:col>0</xdr:col>
                    <xdr:colOff>533400</xdr:colOff>
                    <xdr:row>14</xdr:row>
                    <xdr:rowOff>152400</xdr:rowOff>
                  </from>
                  <to>
                    <xdr:col>1</xdr:col>
                    <xdr:colOff>714375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98" r:id="rId7" name="Spinner 32774">
              <controlPr locked="0" defaultSize="0" print="0" autoPict="0">
                <anchor>
                  <from>
                    <xdr:col>2</xdr:col>
                    <xdr:colOff>228600</xdr:colOff>
                    <xdr:row>14</xdr:row>
                    <xdr:rowOff>142875</xdr:rowOff>
                  </from>
                  <to>
                    <xdr:col>2</xdr:col>
                    <xdr:colOff>476250</xdr:colOff>
                    <xdr:row>16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99" r:id="rId8" name="Check Box 32775">
              <controlPr defaultSize="0" autoFill="0" autoLine="0" autoPict="0" altText="Transmisión a Proveedor">
                <anchor>
                  <from>
                    <xdr:col>3</xdr:col>
                    <xdr:colOff>19050</xdr:colOff>
                    <xdr:row>14</xdr:row>
                    <xdr:rowOff>152400</xdr:rowOff>
                  </from>
                  <to>
                    <xdr:col>4</xdr:col>
                    <xdr:colOff>714375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00" r:id="rId9" name="Spinner 32776">
              <controlPr defaultSize="0" print="0" autoPict="0">
                <anchor>
                  <from>
                    <xdr:col>5</xdr:col>
                    <xdr:colOff>257175</xdr:colOff>
                    <xdr:row>14</xdr:row>
                    <xdr:rowOff>142875</xdr:rowOff>
                  </from>
                  <to>
                    <xdr:col>5</xdr:col>
                    <xdr:colOff>504825</xdr:colOff>
                    <xdr:row>16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01" r:id="rId10" name="Check Box 32777">
              <controlPr defaultSize="0" autoFill="0" autoLine="0" autoPict="0" altText="Picking automático">
                <anchor>
                  <from>
                    <xdr:col>0</xdr:col>
                    <xdr:colOff>180975</xdr:colOff>
                    <xdr:row>17</xdr:row>
                    <xdr:rowOff>142875</xdr:rowOff>
                  </from>
                  <to>
                    <xdr:col>2</xdr:col>
                    <xdr:colOff>219075</xdr:colOff>
                    <xdr:row>19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02" r:id="rId11" name="Check Box 32778">
              <controlPr defaultSize="0" autoFill="0" autoLine="0" autoPict="0" altText="Terminal Venta Almacén">
                <anchor>
                  <from>
                    <xdr:col>0</xdr:col>
                    <xdr:colOff>180975</xdr:colOff>
                    <xdr:row>21</xdr:row>
                    <xdr:rowOff>142875</xdr:rowOff>
                  </from>
                  <to>
                    <xdr:col>1</xdr:col>
                    <xdr:colOff>733425</xdr:colOff>
                    <xdr:row>23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05" r:id="rId12" name="Spinner 32781">
              <controlPr locked="0" defaultSize="0" print="0" autoPict="0">
                <anchor moveWithCells="1" sizeWithCells="1">
                  <from>
                    <xdr:col>1</xdr:col>
                    <xdr:colOff>38100</xdr:colOff>
                    <xdr:row>28</xdr:row>
                    <xdr:rowOff>28575</xdr:rowOff>
                  </from>
                  <to>
                    <xdr:col>1</xdr:col>
                    <xdr:colOff>219075</xdr:colOff>
                    <xdr:row>29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06" r:id="rId13" name="Check Box 32782">
              <controlPr defaultSize="0" autoFill="0" autoLine="0" autoPict="0" altText="Picking automático">
                <anchor>
                  <from>
                    <xdr:col>0</xdr:col>
                    <xdr:colOff>180975</xdr:colOff>
                    <xdr:row>22</xdr:row>
                    <xdr:rowOff>142875</xdr:rowOff>
                  </from>
                  <to>
                    <xdr:col>1</xdr:col>
                    <xdr:colOff>523875</xdr:colOff>
                    <xdr:row>24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08" r:id="rId14" name="Check Box 32784">
              <controlPr locked="0" defaultSize="0" autoFill="0" autoLine="0" autoPict="0" altText="Picking automático">
                <anchor>
                  <from>
                    <xdr:col>0</xdr:col>
                    <xdr:colOff>180975</xdr:colOff>
                    <xdr:row>18</xdr:row>
                    <xdr:rowOff>142875</xdr:rowOff>
                  </from>
                  <to>
                    <xdr:col>2</xdr:col>
                    <xdr:colOff>447675</xdr:colOff>
                    <xdr:row>20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09" r:id="rId15" name="Check Box 32785">
              <controlPr defaultSize="0" autoFill="0" autoLine="0" autoPict="0" altText="Picking automático">
                <anchor>
                  <from>
                    <xdr:col>0</xdr:col>
                    <xdr:colOff>180975</xdr:colOff>
                    <xdr:row>19</xdr:row>
                    <xdr:rowOff>142875</xdr:rowOff>
                  </from>
                  <to>
                    <xdr:col>2</xdr:col>
                    <xdr:colOff>447675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10" r:id="rId16" name="Spinner 32786">
              <controlPr locked="0" defaultSize="0" print="0" autoPict="0">
                <anchor moveWithCells="1" sizeWithCells="1">
                  <from>
                    <xdr:col>3</xdr:col>
                    <xdr:colOff>552450</xdr:colOff>
                    <xdr:row>21</xdr:row>
                    <xdr:rowOff>28575</xdr:rowOff>
                  </from>
                  <to>
                    <xdr:col>3</xdr:col>
                    <xdr:colOff>733425</xdr:colOff>
                    <xdr:row>22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12" r:id="rId17" name="Check Box 32788">
              <controlPr defaultSize="0" autoFill="0" autoLine="0" autoPict="0" altText="Picking automático">
                <anchor>
                  <from>
                    <xdr:col>0</xdr:col>
                    <xdr:colOff>180975</xdr:colOff>
                    <xdr:row>20</xdr:row>
                    <xdr:rowOff>142875</xdr:rowOff>
                  </from>
                  <to>
                    <xdr:col>2</xdr:col>
                    <xdr:colOff>219075</xdr:colOff>
                    <xdr:row>22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14" r:id="rId18" name="Spinner 32790">
              <controlPr locked="0" defaultSize="0" print="0" autoPict="0">
                <anchor moveWithCells="1" sizeWithCells="1">
                  <from>
                    <xdr:col>5</xdr:col>
                    <xdr:colOff>657225</xdr:colOff>
                    <xdr:row>33</xdr:row>
                    <xdr:rowOff>47625</xdr:rowOff>
                  </from>
                  <to>
                    <xdr:col>5</xdr:col>
                    <xdr:colOff>838200</xdr:colOff>
                    <xdr:row>34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18" r:id="rId19" name="Spinner 32794">
              <controlPr locked="0" defaultSize="0" print="0" autoPict="0">
                <anchor moveWithCells="1" sizeWithCells="1">
                  <from>
                    <xdr:col>8</xdr:col>
                    <xdr:colOff>38100</xdr:colOff>
                    <xdr:row>28</xdr:row>
                    <xdr:rowOff>28575</xdr:rowOff>
                  </from>
                  <to>
                    <xdr:col>8</xdr:col>
                    <xdr:colOff>219075</xdr:colOff>
                    <xdr:row>29</xdr:row>
                    <xdr:rowOff>133350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J65"/>
  <sheetViews>
    <sheetView topLeftCell="A25" workbookViewId="0">
      <selection activeCell="C35" sqref="C35"/>
    </sheetView>
  </sheetViews>
  <sheetFormatPr defaultColWidth="11.42578125" defaultRowHeight="12.75" x14ac:dyDescent="0.2"/>
  <sheetData>
    <row r="1" spans="1:8" x14ac:dyDescent="0.2">
      <c r="A1" s="128" t="s">
        <v>7</v>
      </c>
      <c r="B1" s="128"/>
      <c r="C1" s="6" t="b">
        <v>0</v>
      </c>
      <c r="D1">
        <v>300</v>
      </c>
      <c r="E1">
        <f>IF(C1=TRUE,CONFECCION!C16*Auxiliar!D1,0)</f>
        <v>0</v>
      </c>
    </row>
    <row r="2" spans="1:8" x14ac:dyDescent="0.2">
      <c r="A2" s="128" t="s">
        <v>8</v>
      </c>
      <c r="B2" s="128"/>
      <c r="C2" s="6" t="b">
        <v>0</v>
      </c>
      <c r="D2">
        <v>240</v>
      </c>
      <c r="E2">
        <f>IF(C2=TRUE,CONFECCION!F16*Auxiliar!D2,0)</f>
        <v>0</v>
      </c>
    </row>
    <row r="3" spans="1:8" x14ac:dyDescent="0.2">
      <c r="A3" s="128" t="s">
        <v>112</v>
      </c>
      <c r="B3" s="128"/>
      <c r="C3" s="6" t="b">
        <v>0</v>
      </c>
      <c r="D3">
        <v>250</v>
      </c>
      <c r="E3">
        <f>IF(C3=TRUE,Auxiliar!D3,0)</f>
        <v>0</v>
      </c>
    </row>
    <row r="4" spans="1:8" x14ac:dyDescent="0.2">
      <c r="A4" s="134" t="s">
        <v>9</v>
      </c>
      <c r="B4" s="134"/>
      <c r="C4" s="6" t="b">
        <v>0</v>
      </c>
      <c r="D4">
        <v>300</v>
      </c>
      <c r="E4">
        <f>IF(C4=TRUE,Auxiliar!D4,0)</f>
        <v>0</v>
      </c>
    </row>
    <row r="5" spans="1:8" x14ac:dyDescent="0.2">
      <c r="A5" s="135" t="s">
        <v>110</v>
      </c>
      <c r="B5" s="135"/>
      <c r="C5" t="b">
        <v>0</v>
      </c>
      <c r="D5">
        <v>250</v>
      </c>
      <c r="E5">
        <f>IF(C5=TRUE,Auxiliar!D5,0)</f>
        <v>0</v>
      </c>
    </row>
    <row r="6" spans="1:8" x14ac:dyDescent="0.2">
      <c r="A6" s="135" t="s">
        <v>111</v>
      </c>
      <c r="B6" s="135"/>
      <c r="C6" s="81" t="str">
        <f>A46</f>
        <v>NO</v>
      </c>
      <c r="D6">
        <f>D50</f>
        <v>0</v>
      </c>
      <c r="E6">
        <f>D6</f>
        <v>0</v>
      </c>
    </row>
    <row r="7" spans="1:8" x14ac:dyDescent="0.2">
      <c r="A7" s="135" t="s">
        <v>113</v>
      </c>
      <c r="B7" s="135"/>
      <c r="C7" t="b">
        <v>0</v>
      </c>
      <c r="D7">
        <v>250</v>
      </c>
      <c r="E7">
        <f>IF(C7=TRUE,Auxiliar!D7,0)</f>
        <v>0</v>
      </c>
    </row>
    <row r="8" spans="1:8" x14ac:dyDescent="0.2">
      <c r="A8" s="135" t="s">
        <v>131</v>
      </c>
      <c r="B8" s="135"/>
      <c r="C8" t="b">
        <v>0</v>
      </c>
      <c r="D8">
        <v>250</v>
      </c>
      <c r="E8">
        <f>IF(C8=TRUE,Auxiliar!D8,0)</f>
        <v>0</v>
      </c>
    </row>
    <row r="9" spans="1:8" s="84" customFormat="1" x14ac:dyDescent="0.2">
      <c r="A9" s="135" t="s">
        <v>130</v>
      </c>
      <c r="B9" s="135"/>
      <c r="C9" s="84" t="b">
        <v>0</v>
      </c>
      <c r="D9" s="84">
        <v>250</v>
      </c>
      <c r="E9" s="84">
        <f>IF(C9=TRUE,Auxiliar!D9,0)</f>
        <v>0</v>
      </c>
    </row>
    <row r="12" spans="1:8" x14ac:dyDescent="0.2">
      <c r="A12" s="128" t="s">
        <v>118</v>
      </c>
      <c r="B12" s="128"/>
      <c r="C12">
        <v>1000</v>
      </c>
    </row>
    <row r="13" spans="1:8" x14ac:dyDescent="0.2">
      <c r="A13" s="128" t="s">
        <v>119</v>
      </c>
      <c r="B13" s="128"/>
      <c r="C13">
        <v>1000</v>
      </c>
    </row>
    <row r="14" spans="1:8" x14ac:dyDescent="0.2">
      <c r="A14" s="128" t="s">
        <v>120</v>
      </c>
      <c r="B14" s="128"/>
      <c r="C14">
        <v>1000</v>
      </c>
    </row>
    <row r="15" spans="1:8" x14ac:dyDescent="0.2">
      <c r="A15" s="128" t="s">
        <v>121</v>
      </c>
      <c r="B15" s="128"/>
      <c r="C15">
        <v>1000</v>
      </c>
    </row>
    <row r="16" spans="1:8" x14ac:dyDescent="0.2">
      <c r="A16" s="128" t="s">
        <v>3</v>
      </c>
      <c r="B16" s="128"/>
      <c r="C16" s="74">
        <v>250</v>
      </c>
      <c r="D16" s="6" t="b">
        <f>AND(Usuarios&gt;=1,Usuarios&lt;=5)</f>
        <v>1</v>
      </c>
      <c r="E16" s="6">
        <f>IF(D16=TRUE,C12+(Usuarios*Auxiliar!C16),0)</f>
        <v>1250</v>
      </c>
      <c r="F16" s="6">
        <f>IF(D16=TRUE,E16-C12,0)</f>
        <v>250</v>
      </c>
      <c r="H16">
        <f>IF(D16=TRUE,C12,0)</f>
        <v>1000</v>
      </c>
    </row>
    <row r="17" spans="1:10" x14ac:dyDescent="0.2">
      <c r="A17" s="128" t="s">
        <v>4</v>
      </c>
      <c r="B17" s="128"/>
      <c r="C17">
        <v>225</v>
      </c>
      <c r="D17" s="6" t="b">
        <f>AND(Usuarios&gt;5,Usuarios&lt;=10)</f>
        <v>0</v>
      </c>
      <c r="E17" s="6">
        <f>IF(D17=TRUE,C13+(Usuarios*Auxiliar!C17),0)</f>
        <v>0</v>
      </c>
      <c r="F17" s="6">
        <f>IF(D17=TRUE,E17-C13,0)</f>
        <v>0</v>
      </c>
      <c r="H17">
        <f>IF(D17=TRUE,C13,0)</f>
        <v>0</v>
      </c>
    </row>
    <row r="18" spans="1:10" x14ac:dyDescent="0.2">
      <c r="A18" s="128" t="s">
        <v>5</v>
      </c>
      <c r="B18" s="128"/>
      <c r="C18">
        <v>200</v>
      </c>
      <c r="D18" s="6" t="b">
        <f>AND(Usuarios&gt;10,Usuarios&lt;=20)</f>
        <v>0</v>
      </c>
      <c r="E18" s="6">
        <f>IF(D18=TRUE,C14+(Usuarios*Auxiliar!C18),0)</f>
        <v>0</v>
      </c>
      <c r="F18" s="6">
        <f>IF(D18=TRUE,E18-C14,0)</f>
        <v>0</v>
      </c>
      <c r="H18">
        <f>IF(D18=TRUE,C14,0)</f>
        <v>0</v>
      </c>
    </row>
    <row r="19" spans="1:10" x14ac:dyDescent="0.2">
      <c r="A19" s="128" t="s">
        <v>6</v>
      </c>
      <c r="B19" s="128"/>
      <c r="C19">
        <v>175</v>
      </c>
      <c r="D19" s="6" t="b">
        <f>AND(Usuarios&gt;20)</f>
        <v>0</v>
      </c>
      <c r="E19" s="6">
        <f>IF(D19=TRUE,C15+(Usuarios*Auxiliar!C19),0)</f>
        <v>0</v>
      </c>
      <c r="F19" s="6">
        <f>IF(D19=TRUE,E19-C15,0)</f>
        <v>0</v>
      </c>
      <c r="G19">
        <f>SUM(F16:F19)</f>
        <v>250</v>
      </c>
      <c r="H19">
        <f>IF(D19=TRUE,C15,0)</f>
        <v>0</v>
      </c>
      <c r="I19">
        <f>SUM(H16:H19)</f>
        <v>1000</v>
      </c>
      <c r="J19">
        <f>SUM(G19,I19)</f>
        <v>1250</v>
      </c>
    </row>
    <row r="20" spans="1:10" x14ac:dyDescent="0.2">
      <c r="A20" s="128" t="s">
        <v>10</v>
      </c>
      <c r="B20" s="128"/>
      <c r="C20">
        <v>125</v>
      </c>
      <c r="E20" s="6"/>
      <c r="F20" s="6"/>
    </row>
    <row r="21" spans="1:10" x14ac:dyDescent="0.2">
      <c r="A21" s="128" t="s">
        <v>11</v>
      </c>
      <c r="B21" s="128"/>
      <c r="C21">
        <v>15</v>
      </c>
      <c r="E21" s="6">
        <f>IF(D16=TRUE,C20+(Usuarios*Auxiliar!C21),0)</f>
        <v>140</v>
      </c>
      <c r="F21" s="6"/>
    </row>
    <row r="22" spans="1:10" x14ac:dyDescent="0.2">
      <c r="A22" s="128" t="s">
        <v>12</v>
      </c>
      <c r="B22" s="128"/>
      <c r="C22">
        <v>14</v>
      </c>
      <c r="E22" s="6">
        <f>IF(D17=TRUE,C20+(Usuarios*Auxiliar!C22),0)</f>
        <v>0</v>
      </c>
      <c r="F22" s="6"/>
    </row>
    <row r="23" spans="1:10" x14ac:dyDescent="0.2">
      <c r="A23" s="128" t="s">
        <v>13</v>
      </c>
      <c r="B23" s="128"/>
      <c r="C23">
        <v>13</v>
      </c>
      <c r="E23" s="6">
        <f>IF(D18=TRUE,C20+(Usuarios*Auxiliar!C23),0)</f>
        <v>0</v>
      </c>
      <c r="F23" s="6"/>
    </row>
    <row r="24" spans="1:10" x14ac:dyDescent="0.2">
      <c r="A24" s="128" t="s">
        <v>14</v>
      </c>
      <c r="B24" s="128"/>
      <c r="C24">
        <v>12</v>
      </c>
      <c r="E24" s="6">
        <f>IF(D19=TRUE,C20+(Usuarios*Auxiliar!C24),0)</f>
        <v>0</v>
      </c>
      <c r="F24" s="6"/>
    </row>
    <row r="25" spans="1:10" x14ac:dyDescent="0.2">
      <c r="A25" t="s">
        <v>15</v>
      </c>
      <c r="C25">
        <v>30</v>
      </c>
      <c r="E25" s="6">
        <f>IF(C1=TRUE,CONFECCION!C15*Auxiliar!C25,0)</f>
        <v>0</v>
      </c>
      <c r="F25" s="6"/>
    </row>
    <row r="26" spans="1:10" x14ac:dyDescent="0.2">
      <c r="A26" t="s">
        <v>16</v>
      </c>
      <c r="C26">
        <v>24</v>
      </c>
      <c r="E26" s="6">
        <f>IF(C2=TRUE,CONFECCION!F16*Auxiliar!C26,0)</f>
        <v>0</v>
      </c>
      <c r="F26" s="6"/>
    </row>
    <row r="27" spans="1:10" x14ac:dyDescent="0.2">
      <c r="A27" t="s">
        <v>17</v>
      </c>
      <c r="C27">
        <v>30</v>
      </c>
      <c r="E27" s="6">
        <f>IF(C3=TRUE,Auxiliar!C27,0)</f>
        <v>0</v>
      </c>
      <c r="F27" s="6"/>
    </row>
    <row r="28" spans="1:10" x14ac:dyDescent="0.2">
      <c r="A28" t="s">
        <v>18</v>
      </c>
      <c r="C28">
        <v>25</v>
      </c>
      <c r="E28" s="6">
        <f>IF(C4=TRUE,Auxiliar!C28,0)</f>
        <v>0</v>
      </c>
      <c r="F28" s="6"/>
    </row>
    <row r="29" spans="1:10" x14ac:dyDescent="0.2">
      <c r="A29" t="s">
        <v>117</v>
      </c>
      <c r="C29">
        <v>25</v>
      </c>
      <c r="E29" s="6">
        <f>IF(C5=TRUE,Auxiliar!C29,0)</f>
        <v>0</v>
      </c>
      <c r="F29" s="6"/>
    </row>
    <row r="30" spans="1:10" x14ac:dyDescent="0.2">
      <c r="A30" t="s">
        <v>114</v>
      </c>
      <c r="C30">
        <v>30</v>
      </c>
      <c r="E30" s="6">
        <f>F50</f>
        <v>0</v>
      </c>
      <c r="F30" s="6"/>
    </row>
    <row r="31" spans="1:10" x14ac:dyDescent="0.2">
      <c r="A31" t="s">
        <v>115</v>
      </c>
      <c r="C31">
        <v>30</v>
      </c>
      <c r="E31" s="6">
        <f>IF(C7=TRUE,Auxiliar!C31,0)</f>
        <v>0</v>
      </c>
      <c r="F31" s="6"/>
    </row>
    <row r="32" spans="1:10" s="84" customFormat="1" x14ac:dyDescent="0.2">
      <c r="A32" s="84" t="s">
        <v>116</v>
      </c>
      <c r="C32" s="84">
        <v>30</v>
      </c>
      <c r="E32" s="6">
        <f>IF(C8=TRUE,Auxiliar!C32,0)</f>
        <v>0</v>
      </c>
      <c r="F32" s="6"/>
    </row>
    <row r="33" spans="1:7" x14ac:dyDescent="0.2">
      <c r="A33" s="84" t="s">
        <v>132</v>
      </c>
      <c r="C33">
        <v>30</v>
      </c>
      <c r="E33" s="6">
        <f>IF(C9=TRUE,Auxiliar!C33,0)</f>
        <v>0</v>
      </c>
      <c r="F33" s="6">
        <f>SUM(E21:E33)</f>
        <v>140</v>
      </c>
    </row>
    <row r="34" spans="1:7" x14ac:dyDescent="0.2">
      <c r="A34" s="128" t="s">
        <v>23</v>
      </c>
      <c r="B34" s="128"/>
      <c r="C34">
        <v>250</v>
      </c>
      <c r="E34" s="6"/>
      <c r="F34" s="6"/>
    </row>
    <row r="35" spans="1:7" x14ac:dyDescent="0.2">
      <c r="A35" s="128" t="s">
        <v>24</v>
      </c>
      <c r="B35" s="128"/>
      <c r="C35">
        <v>198</v>
      </c>
      <c r="D35" s="6" t="b">
        <f>AND(PDAS&gt;=1,PDAS&lt;=5)</f>
        <v>0</v>
      </c>
      <c r="E35" s="6">
        <f>IF(D35=TRUE,PDAS*Auxiliar!C35,0)</f>
        <v>0</v>
      </c>
      <c r="F35" s="6"/>
    </row>
    <row r="36" spans="1:7" x14ac:dyDescent="0.2">
      <c r="A36" s="128" t="s">
        <v>25</v>
      </c>
      <c r="B36" s="128"/>
      <c r="C36">
        <v>198</v>
      </c>
      <c r="D36" s="6" t="b">
        <f>AND(PDAS&gt;=6,PDAS&lt;=10)</f>
        <v>0</v>
      </c>
      <c r="E36" s="6">
        <f>IF(D36=TRUE,PDAS*Auxiliar!C36,0)</f>
        <v>0</v>
      </c>
      <c r="F36" s="6"/>
    </row>
    <row r="37" spans="1:7" x14ac:dyDescent="0.2">
      <c r="A37" s="128" t="s">
        <v>26</v>
      </c>
      <c r="B37" s="128"/>
      <c r="C37">
        <v>198</v>
      </c>
      <c r="D37" s="6" t="b">
        <f>AND(PDAS&gt;=11,PDAS&lt;=25)</f>
        <v>0</v>
      </c>
      <c r="E37" s="6">
        <f>IF(D37=TRUE,PDAS*Auxiliar!C37,0)</f>
        <v>0</v>
      </c>
      <c r="F37" s="6"/>
    </row>
    <row r="38" spans="1:7" x14ac:dyDescent="0.2">
      <c r="A38" s="128" t="s">
        <v>27</v>
      </c>
      <c r="B38" s="128"/>
      <c r="C38">
        <v>198</v>
      </c>
      <c r="D38" s="6" t="b">
        <f>AND(PDAS&gt;=26)</f>
        <v>0</v>
      </c>
      <c r="E38" s="6">
        <f>IF(D38=TRUE,PDAS*Auxiliar!C38,0)</f>
        <v>0</v>
      </c>
      <c r="F38" s="6">
        <f>SUM(E35:E38)</f>
        <v>0</v>
      </c>
      <c r="G38">
        <f>F38+C34</f>
        <v>250</v>
      </c>
    </row>
    <row r="39" spans="1:7" x14ac:dyDescent="0.2">
      <c r="A39" s="128" t="s">
        <v>28</v>
      </c>
      <c r="B39" s="128"/>
      <c r="C39">
        <v>30</v>
      </c>
      <c r="E39" s="6"/>
      <c r="F39" s="6"/>
    </row>
    <row r="40" spans="1:7" x14ac:dyDescent="0.2">
      <c r="A40" s="128" t="s">
        <v>29</v>
      </c>
      <c r="B40" s="128"/>
      <c r="C40">
        <v>5.5</v>
      </c>
      <c r="E40" s="6">
        <f>IF(D35=TRUE,C39+(PDAS*Auxiliar!C40),0)</f>
        <v>0</v>
      </c>
      <c r="F40" s="6"/>
    </row>
    <row r="41" spans="1:7" x14ac:dyDescent="0.2">
      <c r="A41" s="128" t="s">
        <v>30</v>
      </c>
      <c r="B41" s="128"/>
      <c r="C41">
        <v>5</v>
      </c>
      <c r="E41" s="6">
        <f>IF(D36=TRUE,C39+(PDAS*Auxiliar!C41),0)</f>
        <v>0</v>
      </c>
      <c r="F41" s="6"/>
    </row>
    <row r="42" spans="1:7" x14ac:dyDescent="0.2">
      <c r="A42" s="128" t="s">
        <v>31</v>
      </c>
      <c r="B42" s="128"/>
      <c r="C42">
        <v>4.5</v>
      </c>
      <c r="E42" s="6">
        <f>IF(D37=TRUE,C39+(PDAS*Auxiliar!C42),0)</f>
        <v>0</v>
      </c>
      <c r="F42" s="6"/>
    </row>
    <row r="43" spans="1:7" x14ac:dyDescent="0.2">
      <c r="A43" s="128" t="s">
        <v>32</v>
      </c>
      <c r="B43" s="128"/>
      <c r="C43">
        <v>3.5</v>
      </c>
      <c r="E43" s="6">
        <f>IF(D38=TRUE,C39+(PDAS*Auxiliar!C43),0)</f>
        <v>0</v>
      </c>
      <c r="F43" s="6">
        <f>SUM(E40:E43)</f>
        <v>0</v>
      </c>
    </row>
    <row r="45" spans="1:7" x14ac:dyDescent="0.2">
      <c r="A45" s="136" t="s">
        <v>127</v>
      </c>
      <c r="B45" s="136"/>
      <c r="C45" s="136"/>
      <c r="D45" s="136"/>
      <c r="E45" s="136"/>
      <c r="F45" s="136"/>
      <c r="G45" s="136"/>
    </row>
    <row r="46" spans="1:7" x14ac:dyDescent="0.2">
      <c r="A46" t="str">
        <f>IF(TAlm=0,"NO","SI")</f>
        <v>NO</v>
      </c>
    </row>
    <row r="47" spans="1:7" x14ac:dyDescent="0.2">
      <c r="A47" s="74">
        <v>250</v>
      </c>
      <c r="B47" t="b">
        <f>AND(TAlm&gt;=1,TAlm&lt;=5)</f>
        <v>0</v>
      </c>
      <c r="C47">
        <f>IF(B47=TRUE,TAlm*Auxiliar!C16,0)</f>
        <v>0</v>
      </c>
      <c r="E47" s="74">
        <f>IF(B47=TRUE,C30+(TAlm*Auxiliar!C40),0)</f>
        <v>0</v>
      </c>
    </row>
    <row r="48" spans="1:7" x14ac:dyDescent="0.2">
      <c r="A48" s="74">
        <v>225</v>
      </c>
      <c r="B48" t="b">
        <f>AND(TAlm&gt;5,TAlm&lt;=10)</f>
        <v>0</v>
      </c>
      <c r="C48">
        <f>IF(B48=TRUE,TAlm*Auxiliar!C17,0)</f>
        <v>0</v>
      </c>
      <c r="E48">
        <f>IF(B48=TRUE,C30+(TAlm*Auxiliar!C41),0)</f>
        <v>0</v>
      </c>
    </row>
    <row r="49" spans="1:7" x14ac:dyDescent="0.2">
      <c r="A49" s="74">
        <v>200</v>
      </c>
      <c r="B49" t="b">
        <f>AND(TAlm&gt;10,TAlm&lt;=20)</f>
        <v>0</v>
      </c>
      <c r="C49">
        <f>IF(B49=TRUE,TAlm*Auxiliar!C18,0)</f>
        <v>0</v>
      </c>
      <c r="E49">
        <f>IF(B49=TRUE,C30+(TAlm*Auxiliar!C42),0)</f>
        <v>0</v>
      </c>
    </row>
    <row r="50" spans="1:7" x14ac:dyDescent="0.2">
      <c r="A50" s="74">
        <v>175</v>
      </c>
      <c r="B50" s="74" t="b">
        <f>AND(TAlm&gt;20)</f>
        <v>0</v>
      </c>
      <c r="C50">
        <f>IF(B50=TRUE,TAlm*Auxiliar!C19,0)</f>
        <v>0</v>
      </c>
      <c r="D50">
        <f>SUM(C47:C50)</f>
        <v>0</v>
      </c>
      <c r="E50">
        <f>IF(B50=TRUE,C30+(TAlm*Auxiliar!C43),0)</f>
        <v>0</v>
      </c>
      <c r="F50">
        <f>SUM(E47:E50)</f>
        <v>0</v>
      </c>
    </row>
    <row r="52" spans="1:7" x14ac:dyDescent="0.2">
      <c r="A52" s="135" t="s">
        <v>139</v>
      </c>
      <c r="B52" s="135"/>
      <c r="C52">
        <v>480</v>
      </c>
      <c r="D52" s="8" t="b">
        <f>AND(IF&gt;=1,IF&lt;=2)</f>
        <v>0</v>
      </c>
      <c r="E52">
        <f>IF(D52=TRUE,CONFECCION!G34*C52,0)</f>
        <v>0</v>
      </c>
    </row>
    <row r="53" spans="1:7" x14ac:dyDescent="0.2">
      <c r="A53" s="135" t="s">
        <v>140</v>
      </c>
      <c r="B53" s="135"/>
      <c r="C53">
        <v>450</v>
      </c>
      <c r="D53" t="b">
        <f>AND(IF&gt;=3,IF&lt;=5)</f>
        <v>0</v>
      </c>
      <c r="E53">
        <f>IF(D53=TRUE,CONFECCION!G34*C53,0)</f>
        <v>0</v>
      </c>
    </row>
    <row r="54" spans="1:7" x14ac:dyDescent="0.2">
      <c r="A54" s="135" t="s">
        <v>141</v>
      </c>
      <c r="B54" s="135"/>
      <c r="C54">
        <v>400</v>
      </c>
      <c r="D54" s="8" t="b">
        <f>AND(IF&gt;5)</f>
        <v>0</v>
      </c>
      <c r="E54" s="87">
        <f>IF(D54=TRUE,CONFECCION!G34*C54,0)</f>
        <v>0</v>
      </c>
      <c r="F54">
        <f>E52+E53+E54</f>
        <v>0</v>
      </c>
    </row>
    <row r="55" spans="1:7" x14ac:dyDescent="0.2">
      <c r="A55" s="136" t="s">
        <v>165</v>
      </c>
      <c r="B55" s="136"/>
      <c r="C55" s="136"/>
      <c r="D55" s="136"/>
      <c r="E55" s="136"/>
      <c r="F55" s="136"/>
      <c r="G55" s="136"/>
    </row>
    <row r="56" spans="1:7" s="99" customFormat="1" x14ac:dyDescent="0.2">
      <c r="A56" s="128" t="s">
        <v>144</v>
      </c>
      <c r="B56" s="128"/>
      <c r="C56" s="107">
        <v>250</v>
      </c>
      <c r="E56" s="6"/>
      <c r="F56" s="6"/>
    </row>
    <row r="57" spans="1:7" s="99" customFormat="1" x14ac:dyDescent="0.2">
      <c r="A57" s="128" t="s">
        <v>145</v>
      </c>
      <c r="B57" s="128"/>
      <c r="C57" s="107">
        <v>198</v>
      </c>
      <c r="D57" s="6" t="b">
        <f>AND(TRep&gt;=1,TRep&lt;=5)</f>
        <v>0</v>
      </c>
      <c r="E57" s="6">
        <f>IF(D57=TRUE,TRep*Auxiliar!C57,0)</f>
        <v>0</v>
      </c>
      <c r="F57" s="6"/>
    </row>
    <row r="58" spans="1:7" s="99" customFormat="1" x14ac:dyDescent="0.2">
      <c r="A58" s="128" t="s">
        <v>157</v>
      </c>
      <c r="B58" s="128"/>
      <c r="C58" s="107">
        <v>198</v>
      </c>
      <c r="D58" s="6" t="b">
        <f>AND(TRep&gt;=6,TRep&lt;=10)</f>
        <v>0</v>
      </c>
      <c r="E58" s="6">
        <f>IF(D58=TRUE,TRep*Auxiliar!C58,0)</f>
        <v>0</v>
      </c>
      <c r="F58" s="6"/>
    </row>
    <row r="59" spans="1:7" s="99" customFormat="1" x14ac:dyDescent="0.2">
      <c r="A59" s="128" t="s">
        <v>158</v>
      </c>
      <c r="B59" s="128"/>
      <c r="C59" s="107">
        <v>198</v>
      </c>
      <c r="D59" s="6" t="b">
        <f>AND(TRep&gt;=11,TRep&lt;=25)</f>
        <v>0</v>
      </c>
      <c r="E59" s="6">
        <f>IF(D59=TRUE,TRep*Auxiliar!C59,0)</f>
        <v>0</v>
      </c>
      <c r="F59" s="6"/>
    </row>
    <row r="60" spans="1:7" s="99" customFormat="1" x14ac:dyDescent="0.2">
      <c r="A60" s="128" t="s">
        <v>159</v>
      </c>
      <c r="B60" s="128"/>
      <c r="C60" s="107">
        <v>198</v>
      </c>
      <c r="D60" s="6" t="b">
        <f>AND(TRep&gt;=26)</f>
        <v>0</v>
      </c>
      <c r="E60" s="6">
        <f>IF(D60=TRUE,TRep*Auxiliar!C60,0)</f>
        <v>0</v>
      </c>
      <c r="F60" s="6">
        <f>SUM(E57:E60)</f>
        <v>0</v>
      </c>
      <c r="G60" s="99">
        <f>F60+C56</f>
        <v>250</v>
      </c>
    </row>
    <row r="61" spans="1:7" s="99" customFormat="1" x14ac:dyDescent="0.2">
      <c r="A61" s="128" t="s">
        <v>160</v>
      </c>
      <c r="B61" s="128"/>
      <c r="C61" s="99">
        <v>30</v>
      </c>
      <c r="E61" s="6"/>
      <c r="F61" s="6"/>
    </row>
    <row r="62" spans="1:7" s="99" customFormat="1" x14ac:dyDescent="0.2">
      <c r="A62" s="128" t="s">
        <v>161</v>
      </c>
      <c r="B62" s="128"/>
      <c r="C62" s="99">
        <v>5.5</v>
      </c>
      <c r="E62" s="6">
        <f>IF(D57=TRUE,C61+(TRep*Auxiliar!C62),0)</f>
        <v>0</v>
      </c>
      <c r="F62" s="6"/>
    </row>
    <row r="63" spans="1:7" s="99" customFormat="1" x14ac:dyDescent="0.2">
      <c r="A63" s="128" t="s">
        <v>162</v>
      </c>
      <c r="B63" s="128"/>
      <c r="C63" s="99">
        <v>5</v>
      </c>
      <c r="E63" s="6">
        <f>IF(D58=TRUE,C61+(TRep*Auxiliar!C63),0)</f>
        <v>0</v>
      </c>
      <c r="F63" s="6"/>
    </row>
    <row r="64" spans="1:7" s="99" customFormat="1" x14ac:dyDescent="0.2">
      <c r="A64" s="128" t="s">
        <v>163</v>
      </c>
      <c r="B64" s="128"/>
      <c r="C64" s="99">
        <v>4.5</v>
      </c>
      <c r="E64" s="6">
        <f>IF(D59=TRUE,C61+(TRep*Auxiliar!C64),0)</f>
        <v>0</v>
      </c>
      <c r="F64" s="6"/>
    </row>
    <row r="65" spans="1:6" s="99" customFormat="1" x14ac:dyDescent="0.2">
      <c r="A65" s="128" t="s">
        <v>164</v>
      </c>
      <c r="B65" s="128"/>
      <c r="C65" s="99">
        <v>3.5</v>
      </c>
      <c r="E65" s="6">
        <f>IF(D60=TRUE,C61+(TRep*Auxiliar!C65),0)</f>
        <v>0</v>
      </c>
      <c r="F65" s="6">
        <f>SUM(E62:E65)</f>
        <v>0</v>
      </c>
    </row>
  </sheetData>
  <sheetProtection selectLockedCells="1" selectUnlockedCells="1"/>
  <mergeCells count="47">
    <mergeCell ref="A55:G55"/>
    <mergeCell ref="A45:G45"/>
    <mergeCell ref="A61:B61"/>
    <mergeCell ref="A62:B62"/>
    <mergeCell ref="A63:B63"/>
    <mergeCell ref="A52:B52"/>
    <mergeCell ref="A53:B53"/>
    <mergeCell ref="A54:B54"/>
    <mergeCell ref="A64:B64"/>
    <mergeCell ref="A65:B65"/>
    <mergeCell ref="A56:B56"/>
    <mergeCell ref="A57:B57"/>
    <mergeCell ref="A58:B58"/>
    <mergeCell ref="A59:B59"/>
    <mergeCell ref="A60:B60"/>
    <mergeCell ref="A39:B39"/>
    <mergeCell ref="A40:B40"/>
    <mergeCell ref="A41:B41"/>
    <mergeCell ref="A42:B42"/>
    <mergeCell ref="A43:B43"/>
    <mergeCell ref="A34:B34"/>
    <mergeCell ref="A35:B35"/>
    <mergeCell ref="A36:B36"/>
    <mergeCell ref="A37:B37"/>
    <mergeCell ref="A38:B38"/>
    <mergeCell ref="A23:B23"/>
    <mergeCell ref="A24:B24"/>
    <mergeCell ref="A17:B17"/>
    <mergeCell ref="A18:B18"/>
    <mergeCell ref="A19:B19"/>
    <mergeCell ref="A20:B20"/>
    <mergeCell ref="A21:B21"/>
    <mergeCell ref="A22:B22"/>
    <mergeCell ref="A16:B16"/>
    <mergeCell ref="A1:B1"/>
    <mergeCell ref="A2:B2"/>
    <mergeCell ref="A3:B3"/>
    <mergeCell ref="A4:B4"/>
    <mergeCell ref="A15:B15"/>
    <mergeCell ref="A5:B5"/>
    <mergeCell ref="A6:B6"/>
    <mergeCell ref="A7:B7"/>
    <mergeCell ref="A8:B8"/>
    <mergeCell ref="A12:B12"/>
    <mergeCell ref="A13:B13"/>
    <mergeCell ref="A14:B14"/>
    <mergeCell ref="A9:B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:B17"/>
  <sheetViews>
    <sheetView workbookViewId="0">
      <selection activeCell="F33" sqref="F33"/>
    </sheetView>
  </sheetViews>
  <sheetFormatPr defaultColWidth="11.42578125" defaultRowHeight="12.75" x14ac:dyDescent="0.2"/>
  <sheetData>
    <row r="1" spans="1:1" x14ac:dyDescent="0.2">
      <c r="A1" s="8">
        <f>Usuarios</f>
        <v>1</v>
      </c>
    </row>
    <row r="2" spans="1:1" x14ac:dyDescent="0.2">
      <c r="A2" s="8" t="str">
        <f>IF(Auxiliar!C1=TRUE,"CON Preventa ajena","SIN Preventa ajena")</f>
        <v>SIN Preventa ajena</v>
      </c>
    </row>
    <row r="3" spans="1:1" x14ac:dyDescent="0.2">
      <c r="A3" s="8">
        <f>CONFECCION!C15</f>
        <v>0</v>
      </c>
    </row>
    <row r="4" spans="1:1" x14ac:dyDescent="0.2">
      <c r="A4" s="8" t="str">
        <f>IF(Auxiliar!C2=TRUE,"CON Transmisión a Proveedor","SIN Transmisión a Proveedor")</f>
        <v>SIN Transmisión a Proveedor</v>
      </c>
    </row>
    <row r="5" spans="1:1" x14ac:dyDescent="0.2">
      <c r="A5" s="8">
        <f>CONFECCION!F15</f>
        <v>0</v>
      </c>
    </row>
    <row r="6" spans="1:1" x14ac:dyDescent="0.2">
      <c r="A6" s="8" t="str">
        <f>IF(Auxiliar!C3=TRUE,"CON Picking automático","SIN Picking automático")</f>
        <v>SIN Picking automático</v>
      </c>
    </row>
    <row r="7" spans="1:1" x14ac:dyDescent="0.2">
      <c r="A7" s="8" t="str">
        <f>IF(Auxiliar!C4=TRUE,"CON Terminal venta almacén","SIN Terminal venta almacén")</f>
        <v>SIN Terminal venta almacén</v>
      </c>
    </row>
    <row r="8" spans="1:1" x14ac:dyDescent="0.2">
      <c r="A8" s="8" t="str">
        <f>IF(CONFECCION!A29&gt;0,"Terminales (PDAS's)"," ")</f>
        <v xml:space="preserve"> </v>
      </c>
    </row>
    <row r="9" spans="1:1" x14ac:dyDescent="0.2">
      <c r="A9" s="8">
        <f>CONFECCION!A29</f>
        <v>0</v>
      </c>
    </row>
    <row r="10" spans="1:1" x14ac:dyDescent="0.2">
      <c r="A10" s="9">
        <f>CONFECCION!F40</f>
        <v>1250</v>
      </c>
    </row>
    <row r="11" spans="1:1" x14ac:dyDescent="0.2">
      <c r="A11" s="9">
        <f>CONFECCION!F42</f>
        <v>0</v>
      </c>
    </row>
    <row r="12" spans="1:1" x14ac:dyDescent="0.2">
      <c r="A12" s="9">
        <f>CONFECCION!F44</f>
        <v>0</v>
      </c>
    </row>
    <row r="13" spans="1:1" x14ac:dyDescent="0.2">
      <c r="A13" s="9">
        <f>CONFECCION!A11</f>
        <v>0</v>
      </c>
    </row>
    <row r="14" spans="1:1" x14ac:dyDescent="0.2">
      <c r="A14" s="9">
        <f>CONFECCION!F50</f>
        <v>1250</v>
      </c>
    </row>
    <row r="15" spans="1:1" x14ac:dyDescent="0.2">
      <c r="A15" s="9">
        <f>CONFECCION!F52</f>
        <v>140</v>
      </c>
    </row>
    <row r="16" spans="1:1" x14ac:dyDescent="0.2">
      <c r="A16" s="9" t="e">
        <f>CONFECCION!#REF!</f>
        <v>#REF!</v>
      </c>
    </row>
    <row r="17" spans="1:2" x14ac:dyDescent="0.2">
      <c r="A17" s="9">
        <f>Auxiliar!F54</f>
        <v>0</v>
      </c>
      <c r="B17" s="8">
        <f>CONFECCION!G34</f>
        <v>0</v>
      </c>
    </row>
  </sheetData>
  <sheetProtection password="EAB2" sheet="1" objects="1" scenarios="1" selectLockedCells="1" selectUnlockedCell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1:Q215"/>
  <sheetViews>
    <sheetView topLeftCell="A169" workbookViewId="0">
      <selection activeCell="B156" sqref="B156"/>
    </sheetView>
  </sheetViews>
  <sheetFormatPr defaultColWidth="11.42578125" defaultRowHeight="12.75" x14ac:dyDescent="0.2"/>
  <cols>
    <col min="1" max="1" width="14.85546875" customWidth="1"/>
    <col min="2" max="2" width="63.85546875" customWidth="1"/>
    <col min="3" max="4" width="9.5703125" hidden="1" customWidth="1"/>
    <col min="5" max="5" width="2.5703125" hidden="1" customWidth="1"/>
    <col min="6" max="6" width="5.7109375" hidden="1" customWidth="1"/>
    <col min="7" max="7" width="7" hidden="1" customWidth="1"/>
    <col min="8" max="8" width="9.5703125" hidden="1" customWidth="1"/>
    <col min="9" max="9" width="3.85546875" hidden="1" customWidth="1"/>
    <col min="10" max="10" width="8.28515625" hidden="1" customWidth="1"/>
    <col min="11" max="11" width="9.5703125" hidden="1" customWidth="1"/>
    <col min="12" max="12" width="2.5703125" hidden="1" customWidth="1"/>
    <col min="13" max="13" width="7" hidden="1" customWidth="1"/>
    <col min="14" max="14" width="13.42578125" bestFit="1" customWidth="1"/>
  </cols>
  <sheetData>
    <row r="1" spans="1:14" x14ac:dyDescent="0.2">
      <c r="A1" s="139"/>
      <c r="B1" s="139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</row>
    <row r="2" spans="1:14" x14ac:dyDescent="0.2">
      <c r="A2" s="139"/>
      <c r="B2" s="139"/>
    </row>
    <row r="3" spans="1:14" x14ac:dyDescent="0.2">
      <c r="A3" s="139"/>
      <c r="B3" s="139"/>
    </row>
    <row r="4" spans="1:14" x14ac:dyDescent="0.2">
      <c r="A4" s="139"/>
      <c r="B4" s="139"/>
    </row>
    <row r="5" spans="1:14" x14ac:dyDescent="0.2">
      <c r="A5" s="139"/>
      <c r="B5" s="139"/>
    </row>
    <row r="6" spans="1:14" x14ac:dyDescent="0.2">
      <c r="A6" s="139"/>
      <c r="B6" s="139"/>
    </row>
    <row r="7" spans="1:14" x14ac:dyDescent="0.2">
      <c r="A7" s="140" t="s">
        <v>48</v>
      </c>
      <c r="B7" s="14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 x14ac:dyDescent="0.2">
      <c r="A8" s="140" t="s">
        <v>37</v>
      </c>
      <c r="B8" s="14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</row>
    <row r="9" spans="1:14" x14ac:dyDescent="0.2">
      <c r="A9" s="138" t="s">
        <v>38</v>
      </c>
      <c r="B9" s="138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</row>
    <row r="10" spans="1:14" x14ac:dyDescent="0.2">
      <c r="A10" s="138" t="s">
        <v>168</v>
      </c>
      <c r="B10" s="138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</row>
    <row r="11" spans="1:14" x14ac:dyDescent="0.2">
      <c r="A11" s="138" t="s">
        <v>39</v>
      </c>
      <c r="B11" s="138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</row>
    <row r="12" spans="1:14" x14ac:dyDescent="0.2">
      <c r="A12" s="138" t="s">
        <v>40</v>
      </c>
      <c r="B12" s="138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</row>
    <row r="13" spans="1:14" x14ac:dyDescent="0.2">
      <c r="A13" s="137" t="s">
        <v>129</v>
      </c>
      <c r="B13" s="138"/>
    </row>
    <row r="15" spans="1:14" x14ac:dyDescent="0.2">
      <c r="A15" s="12" t="s">
        <v>41</v>
      </c>
      <c r="B15" s="13" t="s">
        <v>181</v>
      </c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4"/>
    </row>
    <row r="16" spans="1:14" s="105" customFormat="1" x14ac:dyDescent="0.2">
      <c r="A16" s="12"/>
      <c r="B16" s="13"/>
      <c r="C16" s="106"/>
      <c r="D16" s="106"/>
      <c r="E16" s="106"/>
      <c r="F16" s="106"/>
      <c r="G16" s="106"/>
      <c r="H16" s="106"/>
      <c r="I16" s="106"/>
      <c r="J16" s="106"/>
      <c r="K16" s="106"/>
      <c r="L16" s="106"/>
      <c r="M16" s="106"/>
      <c r="N16" s="14"/>
    </row>
    <row r="17" spans="1:17" x14ac:dyDescent="0.2">
      <c r="A17" s="10"/>
      <c r="B17" s="13" t="s">
        <v>182</v>
      </c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4"/>
    </row>
    <row r="18" spans="1:17" x14ac:dyDescent="0.2">
      <c r="A18" s="15" t="s">
        <v>42</v>
      </c>
      <c r="B18" s="16" t="s">
        <v>183</v>
      </c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 t="s">
        <v>43</v>
      </c>
      <c r="N18" s="14"/>
    </row>
    <row r="19" spans="1:17" x14ac:dyDescent="0.2">
      <c r="A19" s="76">
        <f ca="1">TODAY()</f>
        <v>44209</v>
      </c>
      <c r="B19" s="13" t="s">
        <v>176</v>
      </c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0"/>
      <c r="O19" s="10"/>
      <c r="P19" s="10"/>
      <c r="Q19" s="10"/>
    </row>
    <row r="20" spans="1:17" s="105" customFormat="1" x14ac:dyDescent="0.2">
      <c r="A20" s="76"/>
      <c r="B20" s="13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06"/>
      <c r="O20" s="106"/>
      <c r="P20" s="106"/>
      <c r="Q20" s="106"/>
    </row>
    <row r="21" spans="1:17" x14ac:dyDescent="0.2">
      <c r="A21" s="19"/>
      <c r="B21" s="13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0"/>
      <c r="N21" s="10"/>
      <c r="O21" s="10"/>
      <c r="P21" s="10"/>
      <c r="Q21" s="10"/>
    </row>
    <row r="22" spans="1:17" x14ac:dyDescent="0.2">
      <c r="A22" s="20"/>
      <c r="B22" s="13" t="s">
        <v>184</v>
      </c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0"/>
      <c r="N22" s="21"/>
      <c r="O22" s="10"/>
      <c r="P22" s="10"/>
      <c r="Q22" s="10"/>
    </row>
    <row r="23" spans="1:17" x14ac:dyDescent="0.2">
      <c r="A23" s="10"/>
      <c r="B23" s="18" t="s">
        <v>177</v>
      </c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22"/>
      <c r="O23" s="10"/>
      <c r="P23" s="10"/>
      <c r="Q23" s="10"/>
    </row>
    <row r="24" spans="1:17" x14ac:dyDescent="0.2">
      <c r="A24" s="10"/>
      <c r="B24" s="18" t="s">
        <v>178</v>
      </c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22"/>
      <c r="O24" s="10"/>
      <c r="P24" s="10"/>
      <c r="Q24" s="10"/>
    </row>
    <row r="25" spans="1:17" x14ac:dyDescent="0.2">
      <c r="A25" s="23"/>
      <c r="B25" s="10"/>
      <c r="C25" s="23"/>
      <c r="D25" s="24"/>
      <c r="E25" s="23"/>
      <c r="F25" s="23"/>
      <c r="G25" s="23"/>
      <c r="H25" s="23"/>
      <c r="I25" s="23"/>
      <c r="J25" s="23"/>
      <c r="K25" s="23"/>
      <c r="L25" s="24"/>
      <c r="M25" s="23"/>
      <c r="N25" s="25"/>
      <c r="O25" s="10"/>
      <c r="P25" s="10"/>
      <c r="Q25" s="10"/>
    </row>
    <row r="26" spans="1:17" ht="15" x14ac:dyDescent="0.2">
      <c r="A26" s="23"/>
      <c r="B26" s="77">
        <f ca="1">TODAY()</f>
        <v>44209</v>
      </c>
      <c r="C26" s="23"/>
      <c r="D26" s="24"/>
      <c r="E26" s="23"/>
      <c r="F26" s="23"/>
      <c r="G26" s="23"/>
      <c r="H26" s="23"/>
      <c r="I26" s="23"/>
      <c r="J26" s="23"/>
      <c r="K26" s="23"/>
      <c r="L26" s="24"/>
      <c r="M26" s="23"/>
      <c r="N26" s="25"/>
      <c r="O26" s="10"/>
      <c r="P26" s="10"/>
      <c r="Q26" s="10"/>
    </row>
    <row r="27" spans="1:17" x14ac:dyDescent="0.2">
      <c r="A27" s="23"/>
      <c r="B27" s="10"/>
      <c r="C27" s="23"/>
      <c r="D27" s="24"/>
      <c r="E27" s="23"/>
      <c r="F27" s="23"/>
      <c r="G27" s="23"/>
      <c r="H27" s="23"/>
      <c r="I27" s="23"/>
      <c r="J27" s="23"/>
      <c r="K27" s="23"/>
      <c r="L27" s="24"/>
      <c r="M27" s="23"/>
      <c r="N27" s="25"/>
      <c r="O27" s="10"/>
      <c r="P27" s="10"/>
      <c r="Q27" s="10"/>
    </row>
    <row r="28" spans="1:17" x14ac:dyDescent="0.2">
      <c r="A28" s="23"/>
      <c r="B28" s="10"/>
      <c r="C28" s="23"/>
      <c r="D28" s="24"/>
      <c r="E28" s="23"/>
      <c r="F28" s="23"/>
      <c r="G28" s="23"/>
      <c r="H28" s="23"/>
      <c r="I28" s="23"/>
      <c r="J28" s="23"/>
      <c r="K28" s="23"/>
      <c r="L28" s="24"/>
      <c r="M28" s="23"/>
      <c r="N28" s="25"/>
      <c r="O28" s="10"/>
      <c r="P28" s="10"/>
      <c r="Q28" s="10"/>
    </row>
    <row r="29" spans="1:17" x14ac:dyDescent="0.2">
      <c r="A29" s="10"/>
      <c r="B29" s="23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</row>
    <row r="30" spans="1:17" ht="15" x14ac:dyDescent="0.2">
      <c r="A30" s="26"/>
      <c r="B30" s="27" t="s">
        <v>44</v>
      </c>
      <c r="C30" s="28">
        <v>35625</v>
      </c>
      <c r="D30" s="28">
        <v>35625</v>
      </c>
      <c r="E30" s="28">
        <v>0</v>
      </c>
      <c r="F30" s="29">
        <v>5</v>
      </c>
      <c r="G30" s="28">
        <v>1781.25</v>
      </c>
      <c r="H30" s="28">
        <v>37406.25</v>
      </c>
      <c r="I30" s="28">
        <v>50</v>
      </c>
      <c r="J30" s="28">
        <v>18703.125</v>
      </c>
      <c r="K30" s="28">
        <v>56109.375</v>
      </c>
      <c r="L30" s="28">
        <v>5</v>
      </c>
      <c r="M30" s="28">
        <v>2805.46875</v>
      </c>
      <c r="N30" s="30"/>
      <c r="O30" s="26"/>
      <c r="P30" s="26"/>
      <c r="Q30" s="31"/>
    </row>
    <row r="31" spans="1:17" ht="15" x14ac:dyDescent="0.2">
      <c r="A31" s="26"/>
      <c r="B31" s="32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33"/>
      <c r="O31" s="26"/>
      <c r="P31" s="26"/>
      <c r="Q31" s="31"/>
    </row>
    <row r="32" spans="1:17" ht="95.25" customHeight="1" x14ac:dyDescent="0.2">
      <c r="A32" s="26"/>
      <c r="B32" s="34" t="s">
        <v>45</v>
      </c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33"/>
      <c r="O32" s="26"/>
      <c r="P32" s="26"/>
      <c r="Q32" s="31"/>
    </row>
    <row r="33" spans="1:17" ht="15" x14ac:dyDescent="0.2">
      <c r="A33" s="26"/>
      <c r="B33" s="32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33"/>
      <c r="O33" s="35"/>
      <c r="P33" s="35"/>
      <c r="Q33" s="31"/>
    </row>
    <row r="34" spans="1:17" ht="59.25" customHeight="1" x14ac:dyDescent="0.2">
      <c r="A34" s="26"/>
      <c r="B34" s="32" t="s">
        <v>46</v>
      </c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33"/>
      <c r="O34" s="26"/>
      <c r="P34" s="26"/>
      <c r="Q34" s="31"/>
    </row>
    <row r="35" spans="1:17" ht="15" x14ac:dyDescent="0.2">
      <c r="A35" s="26"/>
      <c r="B35" s="32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33"/>
      <c r="O35" s="26"/>
      <c r="P35" s="26"/>
      <c r="Q35" s="31"/>
    </row>
    <row r="36" spans="1:17" ht="60.75" customHeight="1" x14ac:dyDescent="0.2">
      <c r="A36" s="26"/>
      <c r="B36" s="27" t="s">
        <v>47</v>
      </c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33"/>
      <c r="O36" s="26"/>
      <c r="P36" s="26"/>
      <c r="Q36" s="31"/>
    </row>
    <row r="37" spans="1:17" ht="15" x14ac:dyDescent="0.2">
      <c r="A37" s="26"/>
      <c r="B37" s="27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33"/>
      <c r="O37" s="26"/>
      <c r="P37" s="26"/>
      <c r="Q37" s="31"/>
    </row>
    <row r="38" spans="1:17" ht="15" x14ac:dyDescent="0.2">
      <c r="A38" s="26"/>
      <c r="B38" s="27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33"/>
      <c r="O38" s="26"/>
      <c r="P38" s="26"/>
      <c r="Q38" s="31"/>
    </row>
    <row r="39" spans="1:17" ht="15" x14ac:dyDescent="0.2">
      <c r="A39" s="26"/>
      <c r="B39" s="27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33"/>
      <c r="O39" s="26"/>
      <c r="P39" s="26"/>
      <c r="Q39" s="31"/>
    </row>
    <row r="40" spans="1:17" ht="15" x14ac:dyDescent="0.2">
      <c r="A40" s="26"/>
      <c r="B40" s="27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33"/>
      <c r="O40" s="26"/>
      <c r="P40" s="26"/>
      <c r="Q40" s="31"/>
    </row>
    <row r="41" spans="1:17" ht="15" x14ac:dyDescent="0.2">
      <c r="A41" s="26"/>
      <c r="B41" s="36" t="s">
        <v>48</v>
      </c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33"/>
      <c r="O41" s="26"/>
      <c r="P41" s="26"/>
      <c r="Q41" s="31"/>
    </row>
    <row r="42" spans="1:17" ht="15" x14ac:dyDescent="0.2">
      <c r="A42" s="11" t="s">
        <v>49</v>
      </c>
      <c r="B42" s="36" t="s">
        <v>50</v>
      </c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</row>
    <row r="43" spans="1:17" ht="15" x14ac:dyDescent="0.2">
      <c r="A43" s="37"/>
      <c r="B43" s="26"/>
      <c r="C43" s="37"/>
      <c r="D43" s="38"/>
      <c r="E43" s="37"/>
      <c r="F43" s="37"/>
      <c r="G43" s="37"/>
      <c r="H43" s="37"/>
      <c r="I43" s="37"/>
      <c r="J43" s="37"/>
      <c r="K43" s="37"/>
      <c r="L43" s="38"/>
      <c r="M43" s="37"/>
      <c r="N43" s="39"/>
      <c r="O43" s="26"/>
      <c r="P43" s="26"/>
      <c r="Q43" s="31"/>
    </row>
    <row r="44" spans="1:17" ht="18" x14ac:dyDescent="0.2">
      <c r="A44" s="40"/>
      <c r="B44" s="41" t="s">
        <v>51</v>
      </c>
      <c r="C44" s="28"/>
      <c r="D44" s="28"/>
      <c r="E44" s="28"/>
      <c r="F44" s="29"/>
      <c r="G44" s="28"/>
      <c r="H44" s="28"/>
      <c r="I44" s="28"/>
      <c r="J44" s="28"/>
      <c r="K44" s="28"/>
      <c r="L44" s="28"/>
      <c r="M44" s="28"/>
      <c r="N44" s="30"/>
      <c r="O44" s="26"/>
      <c r="P44" s="26"/>
      <c r="Q44" s="26"/>
    </row>
    <row r="45" spans="1:17" ht="15.75" x14ac:dyDescent="0.2">
      <c r="A45" s="40"/>
      <c r="B45" s="42"/>
      <c r="C45" s="28"/>
      <c r="D45" s="28"/>
      <c r="E45" s="28"/>
      <c r="F45" s="29"/>
      <c r="G45" s="28"/>
      <c r="H45" s="28"/>
      <c r="I45" s="28"/>
      <c r="J45" s="28"/>
      <c r="K45" s="28"/>
      <c r="L45" s="28"/>
      <c r="M45" s="28"/>
      <c r="N45" s="30"/>
      <c r="O45" s="26"/>
      <c r="P45" s="26"/>
      <c r="Q45" s="26"/>
    </row>
    <row r="46" spans="1:17" ht="15" x14ac:dyDescent="0.2">
      <c r="A46" s="40"/>
      <c r="B46" s="43" t="s">
        <v>52</v>
      </c>
      <c r="C46" s="28"/>
      <c r="D46" s="28"/>
      <c r="E46" s="28"/>
      <c r="F46" s="29"/>
      <c r="G46" s="28"/>
      <c r="H46" s="28"/>
      <c r="I46" s="28"/>
      <c r="J46" s="28"/>
      <c r="K46" s="28"/>
      <c r="L46" s="28"/>
      <c r="M46" s="28"/>
      <c r="N46" s="44"/>
      <c r="O46" s="26"/>
      <c r="P46" s="26"/>
      <c r="Q46" s="26"/>
    </row>
    <row r="47" spans="1:17" ht="15" x14ac:dyDescent="0.2">
      <c r="A47" s="40"/>
      <c r="B47" s="43" t="s">
        <v>53</v>
      </c>
      <c r="C47" s="28"/>
      <c r="D47" s="28"/>
      <c r="E47" s="28"/>
      <c r="F47" s="29"/>
      <c r="G47" s="28"/>
      <c r="H47" s="28"/>
      <c r="I47" s="28"/>
      <c r="J47" s="28"/>
      <c r="K47" s="28"/>
      <c r="L47" s="28"/>
      <c r="M47" s="28"/>
      <c r="N47" s="44"/>
      <c r="O47" s="26"/>
      <c r="P47" s="26"/>
      <c r="Q47" s="26"/>
    </row>
    <row r="48" spans="1:17" ht="15" x14ac:dyDescent="0.2">
      <c r="A48" s="40"/>
      <c r="B48" s="43" t="s">
        <v>54</v>
      </c>
      <c r="C48" s="28"/>
      <c r="D48" s="28"/>
      <c r="E48" s="28"/>
      <c r="F48" s="29"/>
      <c r="G48" s="28"/>
      <c r="H48" s="28"/>
      <c r="I48" s="28"/>
      <c r="J48" s="28"/>
      <c r="K48" s="28"/>
      <c r="L48" s="28"/>
      <c r="M48" s="28"/>
      <c r="N48" s="44"/>
      <c r="O48" s="26"/>
      <c r="P48" s="26"/>
      <c r="Q48" s="26"/>
    </row>
    <row r="49" spans="1:17" ht="15" x14ac:dyDescent="0.2">
      <c r="A49" s="40"/>
      <c r="B49" s="45" t="s">
        <v>55</v>
      </c>
      <c r="C49" s="28"/>
      <c r="D49" s="28"/>
      <c r="E49" s="28"/>
      <c r="F49" s="29"/>
      <c r="G49" s="28"/>
      <c r="H49" s="28"/>
      <c r="I49" s="28"/>
      <c r="J49" s="28"/>
      <c r="K49" s="28"/>
      <c r="L49" s="28"/>
      <c r="M49" s="28"/>
      <c r="N49" s="44"/>
      <c r="O49" s="26"/>
      <c r="P49" s="26"/>
      <c r="Q49" s="26"/>
    </row>
    <row r="50" spans="1:17" ht="15" x14ac:dyDescent="0.2">
      <c r="A50" s="40"/>
      <c r="B50" s="45" t="s">
        <v>56</v>
      </c>
      <c r="C50" s="28"/>
      <c r="D50" s="28"/>
      <c r="E50" s="28"/>
      <c r="F50" s="29"/>
      <c r="G50" s="28"/>
      <c r="H50" s="28"/>
      <c r="I50" s="28"/>
      <c r="J50" s="28"/>
      <c r="K50" s="28"/>
      <c r="L50" s="28"/>
      <c r="M50" s="28"/>
      <c r="N50" s="44"/>
      <c r="O50" s="26"/>
      <c r="P50" s="26"/>
      <c r="Q50" s="26"/>
    </row>
    <row r="51" spans="1:17" ht="15" x14ac:dyDescent="0.2">
      <c r="A51" s="40"/>
      <c r="B51" s="45" t="s">
        <v>57</v>
      </c>
      <c r="C51" s="28"/>
      <c r="D51" s="28"/>
      <c r="E51" s="28"/>
      <c r="F51" s="29"/>
      <c r="G51" s="28"/>
      <c r="H51" s="28"/>
      <c r="I51" s="28"/>
      <c r="J51" s="28"/>
      <c r="K51" s="28"/>
      <c r="L51" s="28"/>
      <c r="M51" s="28"/>
      <c r="N51" s="46"/>
    </row>
    <row r="52" spans="1:17" ht="15" x14ac:dyDescent="0.2">
      <c r="A52" s="40"/>
      <c r="B52" s="45" t="s">
        <v>58</v>
      </c>
      <c r="C52" s="28"/>
      <c r="D52" s="28"/>
      <c r="E52" s="28"/>
      <c r="F52" s="29"/>
      <c r="G52" s="28"/>
      <c r="H52" s="28"/>
      <c r="I52" s="28"/>
      <c r="J52" s="28"/>
      <c r="K52" s="28"/>
      <c r="L52" s="28"/>
      <c r="M52" s="28"/>
      <c r="N52" s="44"/>
    </row>
    <row r="53" spans="1:17" ht="15" x14ac:dyDescent="0.2">
      <c r="A53" s="40"/>
      <c r="B53" s="45" t="s">
        <v>59</v>
      </c>
      <c r="C53" s="28"/>
      <c r="D53" s="28"/>
      <c r="E53" s="28"/>
      <c r="F53" s="29"/>
      <c r="G53" s="28"/>
      <c r="H53" s="28"/>
      <c r="I53" s="28"/>
      <c r="J53" s="28"/>
      <c r="K53" s="28"/>
      <c r="L53" s="28"/>
      <c r="M53" s="28"/>
      <c r="N53" s="44"/>
    </row>
    <row r="54" spans="1:17" ht="15" x14ac:dyDescent="0.2">
      <c r="A54" s="40"/>
      <c r="B54" s="45" t="s">
        <v>60</v>
      </c>
      <c r="C54" s="28"/>
      <c r="D54" s="28"/>
      <c r="E54" s="28"/>
      <c r="F54" s="29"/>
      <c r="G54" s="28"/>
      <c r="H54" s="28"/>
      <c r="I54" s="28"/>
      <c r="J54" s="28"/>
      <c r="K54" s="28"/>
      <c r="L54" s="28"/>
      <c r="M54" s="28"/>
      <c r="N54" s="44"/>
    </row>
    <row r="55" spans="1:17" ht="15" x14ac:dyDescent="0.2">
      <c r="A55" s="40"/>
      <c r="B55" s="45" t="s">
        <v>61</v>
      </c>
      <c r="C55" s="28"/>
      <c r="D55" s="28"/>
      <c r="E55" s="28"/>
      <c r="F55" s="29"/>
      <c r="G55" s="28"/>
      <c r="H55" s="28"/>
      <c r="I55" s="28"/>
      <c r="J55" s="28"/>
      <c r="K55" s="28"/>
      <c r="L55" s="28"/>
      <c r="M55" s="28"/>
      <c r="N55" s="44"/>
    </row>
    <row r="56" spans="1:17" ht="15" x14ac:dyDescent="0.2">
      <c r="A56" s="40"/>
      <c r="B56" s="45" t="s">
        <v>62</v>
      </c>
      <c r="C56" s="28"/>
      <c r="D56" s="28"/>
      <c r="E56" s="28"/>
      <c r="F56" s="29"/>
      <c r="G56" s="28"/>
      <c r="H56" s="28"/>
      <c r="I56" s="28"/>
      <c r="J56" s="28"/>
      <c r="K56" s="28"/>
      <c r="L56" s="28"/>
      <c r="M56" s="28"/>
      <c r="N56" s="44"/>
    </row>
    <row r="57" spans="1:17" ht="15" x14ac:dyDescent="0.2">
      <c r="A57" s="40"/>
      <c r="B57" s="45" t="s">
        <v>63</v>
      </c>
      <c r="C57" s="28"/>
      <c r="D57" s="28"/>
      <c r="E57" s="28"/>
      <c r="F57" s="29"/>
      <c r="G57" s="28"/>
      <c r="H57" s="28"/>
      <c r="I57" s="28"/>
      <c r="J57" s="28"/>
      <c r="K57" s="28"/>
      <c r="L57" s="28"/>
      <c r="M57" s="28"/>
      <c r="N57" s="44"/>
    </row>
    <row r="58" spans="1:17" ht="15" x14ac:dyDescent="0.2">
      <c r="A58" s="40"/>
      <c r="B58" s="45" t="s">
        <v>64</v>
      </c>
      <c r="C58" s="28"/>
      <c r="D58" s="28"/>
      <c r="E58" s="28"/>
      <c r="F58" s="29"/>
      <c r="G58" s="28"/>
      <c r="H58" s="28"/>
      <c r="I58" s="28"/>
      <c r="J58" s="28"/>
      <c r="K58" s="28"/>
      <c r="L58" s="28"/>
      <c r="M58" s="28"/>
      <c r="N58" s="44"/>
    </row>
    <row r="59" spans="1:17" ht="15" x14ac:dyDescent="0.2">
      <c r="A59" s="40"/>
      <c r="B59" s="45" t="s">
        <v>65</v>
      </c>
      <c r="C59" s="28"/>
      <c r="D59" s="28"/>
      <c r="E59" s="28"/>
      <c r="F59" s="29"/>
      <c r="G59" s="28"/>
      <c r="H59" s="28"/>
      <c r="I59" s="28"/>
      <c r="J59" s="28"/>
      <c r="K59" s="28"/>
      <c r="L59" s="28"/>
      <c r="M59" s="28"/>
      <c r="N59" s="44"/>
    </row>
    <row r="60" spans="1:17" ht="15" x14ac:dyDescent="0.2">
      <c r="A60" s="40"/>
      <c r="B60" s="45" t="s">
        <v>66</v>
      </c>
      <c r="C60" s="28"/>
      <c r="D60" s="28"/>
      <c r="E60" s="28"/>
      <c r="F60" s="29"/>
      <c r="G60" s="28"/>
      <c r="H60" s="28"/>
      <c r="I60" s="28"/>
      <c r="J60" s="28"/>
      <c r="K60" s="28"/>
      <c r="L60" s="28"/>
      <c r="M60" s="28"/>
      <c r="N60" s="44"/>
    </row>
    <row r="61" spans="1:17" ht="15" x14ac:dyDescent="0.2">
      <c r="A61" s="40"/>
      <c r="B61" s="45" t="s">
        <v>67</v>
      </c>
      <c r="C61" s="28"/>
      <c r="D61" s="28"/>
      <c r="E61" s="28"/>
      <c r="F61" s="29"/>
      <c r="G61" s="28"/>
      <c r="H61" s="28"/>
      <c r="I61" s="28"/>
      <c r="J61" s="28"/>
      <c r="K61" s="28"/>
      <c r="L61" s="28"/>
      <c r="M61" s="28"/>
      <c r="N61" s="44"/>
    </row>
    <row r="62" spans="1:17" ht="15" x14ac:dyDescent="0.2">
      <c r="A62" s="40"/>
      <c r="B62" s="45" t="s">
        <v>68</v>
      </c>
      <c r="C62" s="28"/>
      <c r="D62" s="28"/>
      <c r="E62" s="28"/>
      <c r="F62" s="29"/>
      <c r="G62" s="28"/>
      <c r="H62" s="28"/>
      <c r="I62" s="28"/>
      <c r="J62" s="28"/>
      <c r="K62" s="28"/>
      <c r="L62" s="28"/>
      <c r="M62" s="28"/>
      <c r="N62" s="44"/>
    </row>
    <row r="63" spans="1:17" ht="15.75" x14ac:dyDescent="0.25">
      <c r="A63" s="40"/>
      <c r="B63" s="71" t="s">
        <v>69</v>
      </c>
      <c r="C63" s="28"/>
      <c r="D63" s="28"/>
      <c r="E63" s="28"/>
      <c r="F63" s="29"/>
      <c r="G63" s="28"/>
      <c r="H63" s="28"/>
      <c r="I63" s="28"/>
      <c r="J63" s="28"/>
      <c r="K63" s="28"/>
      <c r="L63" s="28"/>
      <c r="M63" s="28"/>
      <c r="N63" s="72">
        <f>Auxiliar!I19</f>
        <v>1000</v>
      </c>
    </row>
    <row r="64" spans="1:17" ht="15" x14ac:dyDescent="0.2">
      <c r="A64" s="40"/>
      <c r="B64" s="45"/>
      <c r="C64" s="28"/>
      <c r="D64" s="28"/>
      <c r="E64" s="28"/>
      <c r="F64" s="29"/>
      <c r="G64" s="28"/>
      <c r="H64" s="28"/>
      <c r="I64" s="28"/>
      <c r="J64" s="28"/>
      <c r="K64" s="28"/>
      <c r="L64" s="28"/>
      <c r="M64" s="28"/>
      <c r="N64" s="44"/>
    </row>
    <row r="65" spans="1:14" ht="15.75" x14ac:dyDescent="0.2">
      <c r="A65" s="50">
        <f>Usuarios</f>
        <v>1</v>
      </c>
      <c r="B65" s="51" t="s">
        <v>75</v>
      </c>
      <c r="C65" s="28"/>
      <c r="D65" s="28"/>
      <c r="E65" s="28"/>
      <c r="F65" s="29"/>
      <c r="G65" s="28"/>
      <c r="H65" s="28"/>
      <c r="I65" s="28"/>
      <c r="J65" s="28"/>
      <c r="K65" s="28"/>
      <c r="L65" s="28"/>
      <c r="M65" s="28"/>
      <c r="N65" s="48">
        <f>Auxiliar!G19</f>
        <v>250</v>
      </c>
    </row>
    <row r="66" spans="1:14" ht="15.75" x14ac:dyDescent="0.2">
      <c r="A66" s="50"/>
      <c r="B66" s="49"/>
      <c r="C66" s="28"/>
      <c r="D66" s="28"/>
      <c r="E66" s="28"/>
      <c r="F66" s="29"/>
      <c r="G66" s="28"/>
      <c r="H66" s="28"/>
      <c r="I66" s="28"/>
      <c r="J66" s="28"/>
      <c r="K66" s="28"/>
      <c r="L66" s="28"/>
      <c r="M66" s="28"/>
      <c r="N66" s="48"/>
    </row>
    <row r="67" spans="1:14" ht="18" x14ac:dyDescent="0.25">
      <c r="A67" s="40"/>
      <c r="B67" s="47" t="s">
        <v>70</v>
      </c>
      <c r="C67" s="28"/>
      <c r="D67" s="28"/>
      <c r="E67" s="28"/>
      <c r="F67" s="29"/>
      <c r="G67" s="28"/>
      <c r="H67" s="28"/>
      <c r="I67" s="28"/>
      <c r="J67" s="28"/>
      <c r="K67" s="28"/>
      <c r="L67" s="28"/>
      <c r="M67" s="28"/>
      <c r="N67" s="44"/>
    </row>
    <row r="68" spans="1:14" ht="15" x14ac:dyDescent="0.2">
      <c r="A68" s="40"/>
      <c r="B68" s="45"/>
      <c r="C68" s="28"/>
      <c r="D68" s="28"/>
      <c r="E68" s="28"/>
      <c r="F68" s="29"/>
      <c r="G68" s="28"/>
      <c r="H68" s="28"/>
      <c r="I68" s="28"/>
      <c r="J68" s="28"/>
      <c r="K68" s="28"/>
      <c r="L68" s="28"/>
      <c r="M68" s="28"/>
      <c r="N68" s="44"/>
    </row>
    <row r="69" spans="1:14" ht="15" x14ac:dyDescent="0.2">
      <c r="A69" s="38" t="str">
        <f>IF(Auxiliar!C1=FALSE,"SIN",CONFECCION!C16)</f>
        <v>SIN</v>
      </c>
      <c r="B69" s="45" t="s">
        <v>143</v>
      </c>
      <c r="C69" s="28"/>
      <c r="D69" s="28"/>
      <c r="E69" s="28"/>
      <c r="F69" s="29"/>
      <c r="G69" s="28"/>
      <c r="H69" s="28"/>
      <c r="I69" s="28"/>
      <c r="J69" s="28"/>
      <c r="K69" s="28"/>
      <c r="L69" s="28"/>
      <c r="M69" s="28"/>
      <c r="N69" s="44">
        <f>Auxiliar!E1</f>
        <v>0</v>
      </c>
    </row>
    <row r="70" spans="1:14" ht="15" x14ac:dyDescent="0.2">
      <c r="A70" s="38" t="str">
        <f>IF(Auxiliar!C2=FALSE,"SIN",CONFECCION!F16)</f>
        <v>SIN</v>
      </c>
      <c r="B70" s="45" t="s">
        <v>170</v>
      </c>
      <c r="C70" s="28"/>
      <c r="D70" s="28"/>
      <c r="E70" s="28"/>
      <c r="F70" s="29"/>
      <c r="G70" s="28"/>
      <c r="H70" s="28"/>
      <c r="I70" s="28"/>
      <c r="J70" s="28"/>
      <c r="K70" s="28"/>
      <c r="L70" s="28"/>
      <c r="M70" s="28"/>
      <c r="N70" s="44">
        <f>Auxiliar!E2</f>
        <v>0</v>
      </c>
    </row>
    <row r="71" spans="1:14" ht="15" x14ac:dyDescent="0.2">
      <c r="A71" s="40"/>
      <c r="B71" s="45" t="s">
        <v>71</v>
      </c>
      <c r="C71" s="28"/>
      <c r="D71" s="28"/>
      <c r="E71" s="28"/>
      <c r="F71" s="29"/>
      <c r="G71" s="28"/>
      <c r="H71" s="28"/>
      <c r="I71" s="28"/>
      <c r="J71" s="28"/>
      <c r="K71" s="28"/>
      <c r="L71" s="28"/>
      <c r="M71" s="28"/>
      <c r="N71" s="44">
        <f>Auxiliar!E5</f>
        <v>0</v>
      </c>
    </row>
    <row r="72" spans="1:14" ht="15" x14ac:dyDescent="0.2">
      <c r="A72" s="40"/>
      <c r="B72" s="45" t="s">
        <v>142</v>
      </c>
      <c r="C72" s="28"/>
      <c r="D72" s="28"/>
      <c r="E72" s="28"/>
      <c r="F72" s="29"/>
      <c r="G72" s="28"/>
      <c r="H72" s="28"/>
      <c r="I72" s="28"/>
      <c r="J72" s="28"/>
      <c r="K72" s="28"/>
      <c r="L72" s="28"/>
      <c r="M72" s="28"/>
      <c r="N72" s="44">
        <f>Auxiliar!E3+Auxiliar!E7+Auxiliar!E8</f>
        <v>0</v>
      </c>
    </row>
    <row r="73" spans="1:14" ht="15" x14ac:dyDescent="0.2">
      <c r="A73" s="40"/>
      <c r="B73" s="45" t="s">
        <v>72</v>
      </c>
      <c r="C73" s="28"/>
      <c r="D73" s="28"/>
      <c r="E73" s="28"/>
      <c r="F73" s="29"/>
      <c r="G73" s="28"/>
      <c r="H73" s="28"/>
      <c r="I73" s="28"/>
      <c r="J73" s="28"/>
      <c r="K73" s="28"/>
      <c r="L73" s="28"/>
      <c r="M73" s="28"/>
      <c r="N73" s="44">
        <f>Auxiliar!E4</f>
        <v>0</v>
      </c>
    </row>
    <row r="74" spans="1:14" ht="15" x14ac:dyDescent="0.2">
      <c r="A74" s="40"/>
      <c r="B74" s="45" t="s">
        <v>171</v>
      </c>
      <c r="C74" s="28"/>
      <c r="D74" s="28"/>
      <c r="E74" s="28"/>
      <c r="F74" s="29"/>
      <c r="G74" s="28"/>
      <c r="H74" s="28"/>
      <c r="I74" s="28"/>
      <c r="J74" s="28"/>
      <c r="K74" s="28"/>
      <c r="L74" s="28"/>
      <c r="M74" s="28"/>
      <c r="N74" s="44">
        <f>Auxiliar!E6</f>
        <v>0</v>
      </c>
    </row>
    <row r="75" spans="1:14" ht="15" x14ac:dyDescent="0.2">
      <c r="A75" s="40"/>
      <c r="B75" s="45"/>
      <c r="C75" s="28"/>
      <c r="D75" s="28"/>
      <c r="E75" s="28"/>
      <c r="F75" s="29"/>
      <c r="G75" s="28"/>
      <c r="H75" s="28"/>
      <c r="I75" s="28"/>
      <c r="J75" s="28"/>
      <c r="K75" s="28"/>
      <c r="L75" s="28"/>
      <c r="M75" s="28"/>
      <c r="N75" s="46"/>
    </row>
    <row r="76" spans="1:14" ht="15.75" x14ac:dyDescent="0.2">
      <c r="A76" s="40"/>
      <c r="B76" s="42" t="s">
        <v>73</v>
      </c>
      <c r="C76" s="28"/>
      <c r="D76" s="28"/>
      <c r="E76" s="28"/>
      <c r="F76" s="29"/>
      <c r="G76" s="28"/>
      <c r="H76" s="28"/>
      <c r="I76" s="28"/>
      <c r="J76" s="28"/>
      <c r="K76" s="28"/>
      <c r="L76" s="28"/>
      <c r="M76" s="28"/>
      <c r="N76" s="48">
        <f>Carta!A10</f>
        <v>1250</v>
      </c>
    </row>
    <row r="77" spans="1:14" ht="15.75" x14ac:dyDescent="0.2">
      <c r="A77" s="40"/>
      <c r="B77" s="49" t="s">
        <v>74</v>
      </c>
      <c r="C77" s="28"/>
      <c r="D77" s="28"/>
      <c r="E77" s="28"/>
      <c r="F77" s="29"/>
      <c r="G77" s="28"/>
      <c r="H77" s="28"/>
      <c r="I77" s="28"/>
      <c r="J77" s="28"/>
      <c r="K77" s="28"/>
      <c r="L77" s="28"/>
      <c r="M77" s="28"/>
      <c r="N77" s="48">
        <f>Carta!A11</f>
        <v>0</v>
      </c>
    </row>
    <row r="78" spans="1:14" ht="15.75" x14ac:dyDescent="0.2">
      <c r="A78" s="40"/>
      <c r="B78" s="49"/>
      <c r="C78" s="28"/>
      <c r="D78" s="28"/>
      <c r="E78" s="28"/>
      <c r="F78" s="29"/>
      <c r="G78" s="28"/>
      <c r="H78" s="28"/>
      <c r="I78" s="28"/>
      <c r="J78" s="28"/>
      <c r="K78" s="28"/>
      <c r="L78" s="28"/>
      <c r="M78" s="28"/>
      <c r="N78" s="48"/>
    </row>
    <row r="79" spans="1:14" ht="15.75" x14ac:dyDescent="0.2">
      <c r="A79" s="40"/>
      <c r="B79" s="51" t="s">
        <v>76</v>
      </c>
      <c r="C79" s="28"/>
      <c r="D79" s="28"/>
      <c r="E79" s="28"/>
      <c r="F79" s="29"/>
      <c r="G79" s="28"/>
      <c r="H79" s="28"/>
      <c r="I79" s="28"/>
      <c r="J79" s="28"/>
      <c r="K79" s="28"/>
      <c r="L79" s="28"/>
      <c r="M79" s="28"/>
      <c r="N79" s="48">
        <f>N76+N77</f>
        <v>1250</v>
      </c>
    </row>
    <row r="80" spans="1:14" ht="15.75" x14ac:dyDescent="0.2">
      <c r="A80" s="40"/>
      <c r="B80" s="49"/>
      <c r="C80" s="28"/>
      <c r="D80" s="28"/>
      <c r="E80" s="28"/>
      <c r="F80" s="29"/>
      <c r="G80" s="28"/>
      <c r="H80" s="28"/>
      <c r="I80" s="28"/>
      <c r="J80" s="28"/>
      <c r="K80" s="28"/>
      <c r="L80" s="28"/>
      <c r="M80" s="28"/>
      <c r="N80" s="48"/>
    </row>
    <row r="81" spans="1:14" ht="18" x14ac:dyDescent="0.2">
      <c r="A81" s="40"/>
      <c r="B81" s="41" t="s">
        <v>77</v>
      </c>
      <c r="C81" s="28"/>
      <c r="D81" s="28"/>
      <c r="E81" s="28"/>
      <c r="F81" s="29"/>
      <c r="G81" s="28"/>
      <c r="H81" s="28"/>
      <c r="I81" s="28"/>
      <c r="J81" s="28"/>
      <c r="K81" s="28"/>
      <c r="L81" s="28"/>
      <c r="M81" s="28"/>
      <c r="N81" s="52"/>
    </row>
    <row r="82" spans="1:14" ht="18" x14ac:dyDescent="0.2">
      <c r="A82" s="40"/>
      <c r="B82" s="41"/>
      <c r="C82" s="28"/>
      <c r="D82" s="28"/>
      <c r="E82" s="28"/>
      <c r="F82" s="29"/>
      <c r="G82" s="28"/>
      <c r="H82" s="28"/>
      <c r="I82" s="28"/>
      <c r="J82" s="28"/>
      <c r="K82" s="28"/>
      <c r="L82" s="28"/>
      <c r="M82" s="28"/>
      <c r="N82" s="52"/>
    </row>
    <row r="83" spans="1:14" ht="15.75" x14ac:dyDescent="0.2">
      <c r="A83" s="40"/>
      <c r="B83" s="42" t="s">
        <v>78</v>
      </c>
      <c r="C83" s="28"/>
      <c r="D83" s="28"/>
      <c r="E83" s="28"/>
      <c r="F83" s="29"/>
      <c r="G83" s="28"/>
      <c r="H83" s="28"/>
      <c r="I83" s="28"/>
      <c r="J83" s="28"/>
      <c r="K83" s="28"/>
      <c r="L83" s="28"/>
      <c r="M83" s="28"/>
      <c r="N83" s="52"/>
    </row>
    <row r="84" spans="1:14" ht="15.75" x14ac:dyDescent="0.2">
      <c r="A84" s="40"/>
      <c r="B84" s="53" t="s">
        <v>134</v>
      </c>
      <c r="C84" s="28">
        <v>125100</v>
      </c>
      <c r="D84" s="28">
        <v>125100</v>
      </c>
      <c r="E84" s="28">
        <v>0</v>
      </c>
      <c r="F84" s="29">
        <v>5</v>
      </c>
      <c r="G84" s="28">
        <v>6255</v>
      </c>
      <c r="H84" s="28">
        <v>131355</v>
      </c>
      <c r="I84" s="28">
        <v>50</v>
      </c>
      <c r="J84" s="28">
        <v>65677.5</v>
      </c>
      <c r="K84" s="28">
        <v>197032.5</v>
      </c>
      <c r="L84" s="28">
        <v>5</v>
      </c>
      <c r="M84" s="28">
        <v>9851.625</v>
      </c>
      <c r="N84" s="54" t="s">
        <v>79</v>
      </c>
    </row>
    <row r="85" spans="1:14" ht="15.75" x14ac:dyDescent="0.2">
      <c r="A85" s="40"/>
      <c r="B85" s="53"/>
      <c r="C85" s="28"/>
      <c r="D85" s="28"/>
      <c r="E85" s="28"/>
      <c r="F85" s="29"/>
      <c r="G85" s="28"/>
      <c r="H85" s="28"/>
      <c r="I85" s="28"/>
      <c r="J85" s="28"/>
      <c r="K85" s="28"/>
      <c r="L85" s="28"/>
      <c r="M85" s="28"/>
      <c r="N85" s="54"/>
    </row>
    <row r="86" spans="1:14" ht="15" x14ac:dyDescent="0.2">
      <c r="A86" s="40"/>
      <c r="B86" s="55" t="s">
        <v>80</v>
      </c>
      <c r="C86" s="28"/>
      <c r="D86" s="28"/>
      <c r="E86" s="28"/>
      <c r="F86" s="29"/>
      <c r="G86" s="28"/>
      <c r="H86" s="28"/>
      <c r="I86" s="28"/>
      <c r="J86" s="28"/>
      <c r="K86" s="28"/>
      <c r="L86" s="28"/>
      <c r="M86" s="28"/>
      <c r="N86" s="56"/>
    </row>
    <row r="87" spans="1:14" ht="15.75" x14ac:dyDescent="0.2">
      <c r="A87" s="40"/>
      <c r="B87" s="55" t="s">
        <v>81</v>
      </c>
      <c r="C87" s="28"/>
      <c r="D87" s="28"/>
      <c r="E87" s="28"/>
      <c r="F87" s="29"/>
      <c r="G87" s="28"/>
      <c r="H87" s="28"/>
      <c r="I87" s="28"/>
      <c r="J87" s="28"/>
      <c r="K87" s="28"/>
      <c r="L87" s="28"/>
      <c r="M87" s="28"/>
      <c r="N87" s="54" t="s">
        <v>79</v>
      </c>
    </row>
    <row r="88" spans="1:14" ht="15" x14ac:dyDescent="0.2">
      <c r="A88" s="40"/>
      <c r="B88" s="57" t="s">
        <v>135</v>
      </c>
      <c r="C88" s="28"/>
      <c r="D88" s="28"/>
      <c r="E88" s="28"/>
      <c r="F88" s="29"/>
      <c r="G88" s="28"/>
      <c r="H88" s="28"/>
      <c r="I88" s="28"/>
      <c r="J88" s="28"/>
      <c r="K88" s="28"/>
      <c r="L88" s="28"/>
      <c r="M88" s="28"/>
      <c r="N88" s="52"/>
    </row>
    <row r="89" spans="1:14" ht="60" x14ac:dyDescent="0.2">
      <c r="A89" s="40"/>
      <c r="B89" s="27" t="s">
        <v>172</v>
      </c>
      <c r="C89" s="28"/>
      <c r="D89" s="28"/>
      <c r="E89" s="28"/>
      <c r="F89" s="29"/>
      <c r="G89" s="28"/>
      <c r="H89" s="28"/>
      <c r="I89" s="28"/>
      <c r="J89" s="28"/>
      <c r="K89" s="28"/>
      <c r="L89" s="28"/>
      <c r="M89" s="28"/>
      <c r="N89" s="52"/>
    </row>
    <row r="90" spans="1:14" ht="15" x14ac:dyDescent="0.2">
      <c r="A90" s="40"/>
      <c r="B90" s="27"/>
      <c r="C90" s="28"/>
      <c r="D90" s="28"/>
      <c r="E90" s="28"/>
      <c r="F90" s="29"/>
      <c r="G90" s="28"/>
      <c r="H90" s="28"/>
      <c r="I90" s="28"/>
      <c r="J90" s="28"/>
      <c r="K90" s="28"/>
      <c r="L90" s="28"/>
      <c r="M90" s="28"/>
      <c r="N90" s="52"/>
    </row>
    <row r="91" spans="1:14" ht="18" x14ac:dyDescent="0.2">
      <c r="A91" s="40"/>
      <c r="B91" s="41" t="s">
        <v>149</v>
      </c>
      <c r="C91" s="28"/>
      <c r="D91" s="28"/>
      <c r="E91" s="28"/>
      <c r="F91" s="29"/>
      <c r="G91" s="28"/>
      <c r="H91" s="28"/>
      <c r="I91" s="28"/>
      <c r="J91" s="28"/>
      <c r="K91" s="28"/>
      <c r="L91" s="28"/>
      <c r="M91" s="28"/>
      <c r="N91" s="30"/>
    </row>
    <row r="92" spans="1:14" ht="15" x14ac:dyDescent="0.2">
      <c r="A92" s="40"/>
      <c r="B92" s="27"/>
      <c r="C92" s="28"/>
      <c r="D92" s="28"/>
      <c r="E92" s="28"/>
      <c r="F92" s="29"/>
      <c r="G92" s="28"/>
      <c r="H92" s="28"/>
      <c r="I92" s="28"/>
      <c r="J92" s="28"/>
      <c r="K92" s="28"/>
      <c r="L92" s="28"/>
      <c r="M92" s="28"/>
      <c r="N92" s="30"/>
    </row>
    <row r="93" spans="1:14" s="99" customFormat="1" ht="15" x14ac:dyDescent="0.2">
      <c r="A93" s="40"/>
      <c r="B93" s="27" t="s">
        <v>148</v>
      </c>
      <c r="C93" s="28"/>
      <c r="D93" s="28"/>
      <c r="E93" s="28"/>
      <c r="F93" s="29"/>
      <c r="G93" s="28"/>
      <c r="H93" s="28"/>
      <c r="I93" s="28"/>
      <c r="J93" s="28"/>
      <c r="K93" s="28"/>
      <c r="L93" s="28"/>
      <c r="M93" s="28"/>
      <c r="N93" s="30"/>
    </row>
    <row r="94" spans="1:14" s="99" customFormat="1" ht="15" x14ac:dyDescent="0.2">
      <c r="A94" s="40"/>
      <c r="B94" s="27"/>
      <c r="C94" s="28"/>
      <c r="D94" s="28"/>
      <c r="E94" s="28"/>
      <c r="F94" s="29"/>
      <c r="G94" s="28"/>
      <c r="H94" s="28"/>
      <c r="I94" s="28"/>
      <c r="J94" s="28"/>
      <c r="K94" s="28"/>
      <c r="L94" s="28"/>
      <c r="M94" s="28"/>
      <c r="N94" s="30"/>
    </row>
    <row r="95" spans="1:14" ht="15" x14ac:dyDescent="0.2">
      <c r="A95" s="40"/>
      <c r="B95" s="58" t="s">
        <v>82</v>
      </c>
      <c r="C95" s="28"/>
      <c r="D95" s="28"/>
      <c r="E95" s="28"/>
      <c r="F95" s="29"/>
      <c r="G95" s="28"/>
      <c r="H95" s="28"/>
      <c r="I95" s="28"/>
      <c r="J95" s="28"/>
      <c r="K95" s="28"/>
      <c r="L95" s="28"/>
      <c r="M95" s="28"/>
      <c r="N95" s="30"/>
    </row>
    <row r="96" spans="1:14" ht="15" x14ac:dyDescent="0.2">
      <c r="A96" s="40"/>
      <c r="B96" s="58"/>
      <c r="C96" s="28"/>
      <c r="D96" s="28"/>
      <c r="E96" s="28"/>
      <c r="F96" s="29"/>
      <c r="G96" s="28"/>
      <c r="H96" s="28"/>
      <c r="I96" s="28"/>
      <c r="J96" s="28"/>
      <c r="K96" s="28"/>
      <c r="L96" s="28"/>
      <c r="M96" s="28"/>
      <c r="N96" s="30"/>
    </row>
    <row r="97" spans="1:14" ht="15" x14ac:dyDescent="0.2">
      <c r="A97" s="40"/>
      <c r="B97" s="58" t="s">
        <v>83</v>
      </c>
      <c r="C97" s="28"/>
      <c r="D97" s="28"/>
      <c r="E97" s="28"/>
      <c r="F97" s="29"/>
      <c r="G97" s="28"/>
      <c r="H97" s="28"/>
      <c r="I97" s="28"/>
      <c r="J97" s="28"/>
      <c r="K97" s="28"/>
      <c r="L97" s="28"/>
      <c r="M97" s="28"/>
      <c r="N97" s="30"/>
    </row>
    <row r="98" spans="1:14" ht="15" x14ac:dyDescent="0.2">
      <c r="A98" s="40"/>
      <c r="B98" s="58" t="s">
        <v>84</v>
      </c>
      <c r="C98" s="28"/>
      <c r="D98" s="28"/>
      <c r="E98" s="28"/>
      <c r="F98" s="29"/>
      <c r="G98" s="28"/>
      <c r="H98" s="28"/>
      <c r="I98" s="28"/>
      <c r="J98" s="28"/>
      <c r="K98" s="28"/>
      <c r="L98" s="28"/>
      <c r="M98" s="28"/>
      <c r="N98" s="30"/>
    </row>
    <row r="99" spans="1:14" ht="15" x14ac:dyDescent="0.2">
      <c r="A99" s="40"/>
      <c r="B99" s="58"/>
      <c r="C99" s="28"/>
      <c r="D99" s="28"/>
      <c r="E99" s="28"/>
      <c r="F99" s="29"/>
      <c r="G99" s="28"/>
      <c r="H99" s="28"/>
      <c r="I99" s="28"/>
      <c r="J99" s="28"/>
      <c r="K99" s="28"/>
      <c r="L99" s="28"/>
      <c r="M99" s="28"/>
      <c r="N99" s="30"/>
    </row>
    <row r="100" spans="1:14" ht="15" x14ac:dyDescent="0.2">
      <c r="A100" s="40"/>
      <c r="B100" s="58" t="s">
        <v>85</v>
      </c>
      <c r="C100" s="28"/>
      <c r="D100" s="28"/>
      <c r="E100" s="28"/>
      <c r="F100" s="29"/>
      <c r="G100" s="28"/>
      <c r="H100" s="28"/>
      <c r="I100" s="28"/>
      <c r="J100" s="28"/>
      <c r="K100" s="28"/>
      <c r="L100" s="28"/>
      <c r="M100" s="28"/>
      <c r="N100" s="30"/>
    </row>
    <row r="101" spans="1:14" ht="15" x14ac:dyDescent="0.2">
      <c r="A101" s="40"/>
      <c r="B101" s="58" t="s">
        <v>86</v>
      </c>
      <c r="C101" s="28"/>
      <c r="D101" s="28"/>
      <c r="E101" s="28"/>
      <c r="F101" s="29"/>
      <c r="G101" s="28"/>
      <c r="H101" s="28"/>
      <c r="I101" s="28"/>
      <c r="J101" s="28"/>
      <c r="K101" s="28"/>
      <c r="L101" s="28"/>
      <c r="M101" s="28"/>
      <c r="N101" s="30"/>
    </row>
    <row r="102" spans="1:14" ht="15" x14ac:dyDescent="0.2">
      <c r="A102" s="40"/>
      <c r="B102" s="58"/>
      <c r="C102" s="28"/>
      <c r="D102" s="28"/>
      <c r="E102" s="28"/>
      <c r="F102" s="29"/>
      <c r="G102" s="28"/>
      <c r="H102" s="28"/>
      <c r="I102" s="28"/>
      <c r="J102" s="28"/>
      <c r="K102" s="28"/>
      <c r="L102" s="28"/>
      <c r="M102" s="28"/>
      <c r="N102" s="30"/>
    </row>
    <row r="103" spans="1:14" ht="15" x14ac:dyDescent="0.2">
      <c r="A103" s="40"/>
      <c r="B103" s="58" t="s">
        <v>87</v>
      </c>
      <c r="C103" s="28"/>
      <c r="D103" s="28"/>
      <c r="E103" s="28"/>
      <c r="F103" s="29"/>
      <c r="G103" s="28"/>
      <c r="H103" s="28"/>
      <c r="I103" s="28"/>
      <c r="J103" s="28"/>
      <c r="K103" s="28"/>
      <c r="L103" s="28"/>
      <c r="M103" s="28"/>
      <c r="N103" s="30"/>
    </row>
    <row r="104" spans="1:14" ht="15" x14ac:dyDescent="0.2">
      <c r="A104" s="40"/>
      <c r="B104" s="58"/>
      <c r="C104" s="28"/>
      <c r="D104" s="28"/>
      <c r="E104" s="28"/>
      <c r="F104" s="29"/>
      <c r="G104" s="28"/>
      <c r="H104" s="28"/>
      <c r="I104" s="28"/>
      <c r="J104" s="28"/>
      <c r="K104" s="28"/>
      <c r="L104" s="28"/>
      <c r="M104" s="28"/>
      <c r="N104" s="30"/>
    </row>
    <row r="105" spans="1:14" ht="15" x14ac:dyDescent="0.2">
      <c r="A105" s="40"/>
      <c r="B105" s="58" t="s">
        <v>88</v>
      </c>
      <c r="C105" s="28"/>
      <c r="D105" s="28"/>
      <c r="E105" s="28"/>
      <c r="F105" s="29"/>
      <c r="G105" s="28"/>
      <c r="H105" s="28"/>
      <c r="I105" s="28"/>
      <c r="J105" s="28"/>
      <c r="K105" s="28"/>
      <c r="L105" s="28"/>
      <c r="M105" s="28"/>
      <c r="N105" s="30"/>
    </row>
    <row r="106" spans="1:14" ht="15" x14ac:dyDescent="0.2">
      <c r="A106" s="40"/>
      <c r="B106" s="59" t="s">
        <v>89</v>
      </c>
      <c r="C106" s="28"/>
      <c r="D106" s="28"/>
      <c r="E106" s="28"/>
      <c r="F106" s="29"/>
      <c r="G106" s="28"/>
      <c r="H106" s="28"/>
      <c r="I106" s="28"/>
      <c r="J106" s="28"/>
      <c r="K106" s="28"/>
      <c r="L106" s="28"/>
      <c r="M106" s="28"/>
      <c r="N106" s="30"/>
    </row>
    <row r="107" spans="1:14" ht="15" x14ac:dyDescent="0.2">
      <c r="A107" s="40"/>
      <c r="B107" s="59" t="s">
        <v>90</v>
      </c>
      <c r="C107" s="28"/>
      <c r="D107" s="28"/>
      <c r="E107" s="28"/>
      <c r="F107" s="29"/>
      <c r="G107" s="28"/>
      <c r="H107" s="28"/>
      <c r="I107" s="28"/>
      <c r="J107" s="28"/>
      <c r="K107" s="28"/>
      <c r="L107" s="28"/>
      <c r="M107" s="28"/>
      <c r="N107" s="30"/>
    </row>
    <row r="108" spans="1:14" ht="15" x14ac:dyDescent="0.2">
      <c r="A108" s="40"/>
      <c r="B108" s="59" t="s">
        <v>91</v>
      </c>
      <c r="C108" s="28"/>
      <c r="D108" s="28"/>
      <c r="E108" s="28"/>
      <c r="F108" s="29"/>
      <c r="G108" s="28"/>
      <c r="H108" s="28"/>
      <c r="I108" s="28"/>
      <c r="J108" s="28"/>
      <c r="K108" s="28"/>
      <c r="L108" s="28"/>
      <c r="M108" s="28"/>
      <c r="N108" s="30"/>
    </row>
    <row r="109" spans="1:14" ht="15" x14ac:dyDescent="0.2">
      <c r="A109" s="40"/>
      <c r="B109" s="59" t="s">
        <v>92</v>
      </c>
      <c r="C109" s="28"/>
      <c r="D109" s="28"/>
      <c r="E109" s="28"/>
      <c r="F109" s="29"/>
      <c r="G109" s="28"/>
      <c r="H109" s="28"/>
      <c r="I109" s="28"/>
      <c r="J109" s="28"/>
      <c r="K109" s="28"/>
      <c r="L109" s="28"/>
      <c r="M109" s="28"/>
      <c r="N109" s="30"/>
    </row>
    <row r="110" spans="1:14" ht="15" x14ac:dyDescent="0.2">
      <c r="A110" s="40"/>
      <c r="B110" s="59" t="s">
        <v>93</v>
      </c>
      <c r="C110" s="28"/>
      <c r="D110" s="28"/>
      <c r="E110" s="28"/>
      <c r="F110" s="29"/>
      <c r="G110" s="28"/>
      <c r="H110" s="28"/>
      <c r="I110" s="28"/>
      <c r="J110" s="28"/>
      <c r="K110" s="28"/>
      <c r="L110" s="28"/>
      <c r="M110" s="28"/>
      <c r="N110" s="30"/>
    </row>
    <row r="111" spans="1:14" ht="15" x14ac:dyDescent="0.2">
      <c r="A111" s="40"/>
      <c r="B111" s="59"/>
      <c r="C111" s="28"/>
      <c r="D111" s="28"/>
      <c r="E111" s="28"/>
      <c r="F111" s="29"/>
      <c r="G111" s="28"/>
      <c r="H111" s="28"/>
      <c r="I111" s="28"/>
      <c r="J111" s="28"/>
      <c r="K111" s="28"/>
      <c r="L111" s="28"/>
      <c r="M111" s="28"/>
      <c r="N111" s="30"/>
    </row>
    <row r="112" spans="1:14" ht="15" x14ac:dyDescent="0.2">
      <c r="A112" s="40"/>
      <c r="B112" s="59" t="s">
        <v>94</v>
      </c>
      <c r="C112" s="28"/>
      <c r="D112" s="28"/>
      <c r="E112" s="28"/>
      <c r="F112" s="29"/>
      <c r="G112" s="28"/>
      <c r="H112" s="28"/>
      <c r="I112" s="28"/>
      <c r="J112" s="28"/>
      <c r="K112" s="28"/>
      <c r="L112" s="28"/>
      <c r="M112" s="28"/>
      <c r="N112" s="30"/>
    </row>
    <row r="113" spans="1:14" ht="15" x14ac:dyDescent="0.2">
      <c r="A113" s="40"/>
      <c r="B113" s="59" t="s">
        <v>95</v>
      </c>
      <c r="C113" s="28"/>
      <c r="D113" s="28"/>
      <c r="E113" s="28"/>
      <c r="F113" s="29"/>
      <c r="G113" s="28"/>
      <c r="H113" s="28"/>
      <c r="I113" s="28"/>
      <c r="J113" s="28"/>
      <c r="K113" s="28"/>
      <c r="L113" s="28"/>
      <c r="M113" s="28"/>
      <c r="N113" s="30"/>
    </row>
    <row r="114" spans="1:14" ht="15" x14ac:dyDescent="0.2">
      <c r="A114" s="40"/>
      <c r="B114" s="59" t="s">
        <v>96</v>
      </c>
      <c r="C114" s="28"/>
      <c r="D114" s="28"/>
      <c r="E114" s="28"/>
      <c r="F114" s="29"/>
      <c r="G114" s="28"/>
      <c r="H114" s="28"/>
      <c r="I114" s="28"/>
      <c r="J114" s="28"/>
      <c r="K114" s="28"/>
      <c r="L114" s="28"/>
      <c r="M114" s="28"/>
      <c r="N114" s="30"/>
    </row>
    <row r="115" spans="1:14" ht="15" x14ac:dyDescent="0.2">
      <c r="A115" s="40"/>
      <c r="B115" s="60"/>
      <c r="C115" s="28"/>
      <c r="D115" s="28"/>
      <c r="E115" s="28"/>
      <c r="F115" s="29"/>
      <c r="G115" s="28"/>
      <c r="H115" s="28"/>
      <c r="I115" s="28"/>
      <c r="J115" s="28"/>
      <c r="K115" s="28"/>
      <c r="L115" s="28"/>
      <c r="M115" s="28"/>
      <c r="N115" s="30"/>
    </row>
    <row r="116" spans="1:14" ht="15" x14ac:dyDescent="0.2">
      <c r="A116" s="40"/>
      <c r="B116" s="60"/>
      <c r="C116" s="28"/>
      <c r="D116" s="28"/>
      <c r="E116" s="28"/>
      <c r="F116" s="29"/>
      <c r="G116" s="28"/>
      <c r="H116" s="28"/>
      <c r="I116" s="28"/>
      <c r="J116" s="28"/>
      <c r="K116" s="28"/>
      <c r="L116" s="28"/>
      <c r="M116" s="28"/>
      <c r="N116" s="30"/>
    </row>
    <row r="117" spans="1:14" ht="15.75" x14ac:dyDescent="0.2">
      <c r="A117" s="50" t="str">
        <f>IF(A118&gt;0,"CON","SIN")</f>
        <v>SIN</v>
      </c>
      <c r="B117" s="42" t="s">
        <v>97</v>
      </c>
      <c r="C117" s="28"/>
      <c r="D117" s="28"/>
      <c r="E117" s="28"/>
      <c r="F117" s="29"/>
      <c r="G117" s="28"/>
      <c r="H117" s="28"/>
      <c r="I117" s="28"/>
      <c r="J117" s="28"/>
      <c r="K117" s="28"/>
      <c r="L117" s="28"/>
      <c r="M117" s="28"/>
      <c r="N117" s="48">
        <f>IF(A117="CON",Auxiliar!C34,0)</f>
        <v>0</v>
      </c>
    </row>
    <row r="118" spans="1:14" ht="15.75" x14ac:dyDescent="0.2">
      <c r="A118" s="50">
        <f>IF(PDAS=0,,PDAS)</f>
        <v>0</v>
      </c>
      <c r="B118" s="42" t="s">
        <v>185</v>
      </c>
      <c r="C118" s="28"/>
      <c r="D118" s="28"/>
      <c r="E118" s="28"/>
      <c r="F118" s="29"/>
      <c r="G118" s="28"/>
      <c r="H118" s="28"/>
      <c r="I118" s="28"/>
      <c r="J118" s="28"/>
      <c r="K118" s="28"/>
      <c r="L118" s="28"/>
      <c r="M118" s="28"/>
      <c r="N118" s="48">
        <f>IF(A118&gt;0,Auxiliar!F38,0)</f>
        <v>0</v>
      </c>
    </row>
    <row r="119" spans="1:14" ht="15.75" x14ac:dyDescent="0.2">
      <c r="A119" s="40"/>
      <c r="B119" s="42"/>
      <c r="C119" s="28"/>
      <c r="D119" s="28"/>
      <c r="E119" s="28"/>
      <c r="F119" s="29"/>
      <c r="G119" s="28"/>
      <c r="H119" s="28"/>
      <c r="I119" s="28"/>
      <c r="J119" s="28"/>
      <c r="K119" s="28"/>
      <c r="L119" s="28"/>
      <c r="M119" s="28"/>
      <c r="N119" s="30"/>
    </row>
    <row r="120" spans="1:14" ht="15.75" x14ac:dyDescent="0.2">
      <c r="A120" s="40"/>
      <c r="B120" s="75" t="s">
        <v>98</v>
      </c>
      <c r="C120" s="28"/>
      <c r="D120" s="28"/>
      <c r="E120" s="28"/>
      <c r="F120" s="29"/>
      <c r="G120" s="28"/>
      <c r="H120" s="28"/>
      <c r="I120" s="28"/>
      <c r="J120" s="28"/>
      <c r="K120" s="28"/>
      <c r="L120" s="28"/>
      <c r="M120" s="28"/>
      <c r="N120" s="48">
        <f>IF(A117="SIN",0,Auxiliar!G38)</f>
        <v>0</v>
      </c>
    </row>
    <row r="121" spans="1:14" s="99" customFormat="1" ht="15.75" x14ac:dyDescent="0.2">
      <c r="A121" s="40"/>
      <c r="B121" s="75"/>
      <c r="C121" s="28"/>
      <c r="D121" s="28"/>
      <c r="E121" s="28"/>
      <c r="F121" s="29"/>
      <c r="G121" s="28"/>
      <c r="H121" s="28"/>
      <c r="I121" s="28"/>
      <c r="J121" s="28"/>
      <c r="K121" s="28"/>
      <c r="L121" s="28"/>
      <c r="M121" s="28"/>
      <c r="N121" s="48"/>
    </row>
    <row r="122" spans="1:14" s="99" customFormat="1" ht="15.75" x14ac:dyDescent="0.2">
      <c r="A122" s="40"/>
      <c r="B122" s="75"/>
      <c r="C122" s="28"/>
      <c r="D122" s="28"/>
      <c r="E122" s="28"/>
      <c r="F122" s="29"/>
      <c r="G122" s="28"/>
      <c r="H122" s="28"/>
      <c r="I122" s="28"/>
      <c r="J122" s="28"/>
      <c r="K122" s="28"/>
      <c r="L122" s="28"/>
      <c r="M122" s="28"/>
      <c r="N122" s="48"/>
    </row>
    <row r="123" spans="1:14" s="99" customFormat="1" ht="15.75" x14ac:dyDescent="0.2">
      <c r="A123" s="40"/>
      <c r="B123" s="75"/>
      <c r="C123" s="28"/>
      <c r="D123" s="28"/>
      <c r="E123" s="28"/>
      <c r="F123" s="29"/>
      <c r="G123" s="28"/>
      <c r="H123" s="28"/>
      <c r="I123" s="28"/>
      <c r="J123" s="28"/>
      <c r="K123" s="28"/>
      <c r="L123" s="28"/>
      <c r="M123" s="28"/>
      <c r="N123" s="48"/>
    </row>
    <row r="124" spans="1:14" s="99" customFormat="1" ht="15.75" x14ac:dyDescent="0.2">
      <c r="A124" s="40"/>
      <c r="B124" s="75"/>
      <c r="C124" s="28"/>
      <c r="D124" s="28"/>
      <c r="E124" s="28"/>
      <c r="F124" s="29"/>
      <c r="G124" s="28"/>
      <c r="H124" s="28"/>
      <c r="I124" s="28"/>
      <c r="J124" s="28"/>
      <c r="K124" s="28"/>
      <c r="L124" s="28"/>
      <c r="M124" s="28"/>
      <c r="N124" s="48"/>
    </row>
    <row r="125" spans="1:14" s="99" customFormat="1" ht="15.75" x14ac:dyDescent="0.2">
      <c r="A125" s="40"/>
      <c r="B125" s="75"/>
      <c r="C125" s="28"/>
      <c r="D125" s="28"/>
      <c r="E125" s="28"/>
      <c r="F125" s="29"/>
      <c r="G125" s="28"/>
      <c r="H125" s="28"/>
      <c r="I125" s="28"/>
      <c r="J125" s="28"/>
      <c r="K125" s="28"/>
      <c r="L125" s="28"/>
      <c r="M125" s="28"/>
      <c r="N125" s="48"/>
    </row>
    <row r="126" spans="1:14" s="99" customFormat="1" ht="15.75" x14ac:dyDescent="0.2">
      <c r="A126" s="40"/>
      <c r="B126" s="75"/>
      <c r="C126" s="28"/>
      <c r="D126" s="28"/>
      <c r="E126" s="28"/>
      <c r="F126" s="29"/>
      <c r="G126" s="28"/>
      <c r="H126" s="28"/>
      <c r="I126" s="28"/>
      <c r="J126" s="28"/>
      <c r="K126" s="28"/>
      <c r="L126" s="28"/>
      <c r="M126" s="28"/>
      <c r="N126" s="48"/>
    </row>
    <row r="127" spans="1:14" s="99" customFormat="1" ht="15.75" x14ac:dyDescent="0.2">
      <c r="A127" s="40"/>
      <c r="B127" s="75"/>
      <c r="C127" s="28"/>
      <c r="D127" s="28"/>
      <c r="E127" s="28"/>
      <c r="F127" s="29"/>
      <c r="G127" s="28"/>
      <c r="H127" s="28"/>
      <c r="I127" s="28"/>
      <c r="J127" s="28"/>
      <c r="K127" s="28"/>
      <c r="L127" s="28"/>
      <c r="M127" s="28"/>
      <c r="N127" s="48"/>
    </row>
    <row r="128" spans="1:14" s="99" customFormat="1" ht="15.75" x14ac:dyDescent="0.2">
      <c r="A128" s="40"/>
      <c r="B128" s="75"/>
      <c r="C128" s="28"/>
      <c r="D128" s="28"/>
      <c r="E128" s="28"/>
      <c r="F128" s="29"/>
      <c r="G128" s="28"/>
      <c r="H128" s="28"/>
      <c r="I128" s="28"/>
      <c r="J128" s="28"/>
      <c r="K128" s="28"/>
      <c r="L128" s="28"/>
      <c r="M128" s="28"/>
      <c r="N128" s="48"/>
    </row>
    <row r="129" spans="1:14" s="99" customFormat="1" ht="18" x14ac:dyDescent="0.2">
      <c r="A129" s="40"/>
      <c r="B129" s="41" t="s">
        <v>150</v>
      </c>
      <c r="C129" s="28"/>
      <c r="D129" s="28"/>
      <c r="E129" s="28"/>
      <c r="F129" s="29"/>
      <c r="G129" s="28"/>
      <c r="H129" s="28"/>
      <c r="I129" s="28"/>
      <c r="J129" s="28"/>
      <c r="K129" s="28"/>
      <c r="L129" s="28"/>
      <c r="M129" s="28"/>
      <c r="N129" s="30"/>
    </row>
    <row r="130" spans="1:14" s="99" customFormat="1" ht="15" x14ac:dyDescent="0.2">
      <c r="A130" s="40"/>
      <c r="B130" s="27"/>
      <c r="C130" s="28"/>
      <c r="D130" s="28"/>
      <c r="E130" s="28"/>
      <c r="F130" s="29"/>
      <c r="G130" s="28"/>
      <c r="H130" s="28"/>
      <c r="I130" s="28"/>
      <c r="J130" s="28"/>
      <c r="K130" s="28"/>
      <c r="L130" s="28"/>
      <c r="M130" s="28"/>
      <c r="N130" s="30"/>
    </row>
    <row r="131" spans="1:14" s="99" customFormat="1" ht="15" x14ac:dyDescent="0.2">
      <c r="A131" s="40"/>
      <c r="B131" s="27" t="s">
        <v>148</v>
      </c>
      <c r="C131" s="28"/>
      <c r="D131" s="28"/>
      <c r="E131" s="28"/>
      <c r="F131" s="29"/>
      <c r="G131" s="28"/>
      <c r="H131" s="28"/>
      <c r="I131" s="28"/>
      <c r="J131" s="28"/>
      <c r="K131" s="28"/>
      <c r="L131" s="28"/>
      <c r="M131" s="28"/>
      <c r="N131" s="30"/>
    </row>
    <row r="132" spans="1:14" s="99" customFormat="1" ht="15" x14ac:dyDescent="0.2">
      <c r="A132" s="40"/>
      <c r="B132" s="27"/>
      <c r="C132" s="28"/>
      <c r="D132" s="28"/>
      <c r="E132" s="28"/>
      <c r="F132" s="29"/>
      <c r="G132" s="28"/>
      <c r="H132" s="28"/>
      <c r="I132" s="28"/>
      <c r="J132" s="28"/>
      <c r="K132" s="28"/>
      <c r="L132" s="28"/>
      <c r="M132" s="28"/>
      <c r="N132" s="30"/>
    </row>
    <row r="133" spans="1:14" s="99" customFormat="1" ht="15" x14ac:dyDescent="0.2">
      <c r="A133" s="40"/>
      <c r="B133" s="58" t="s">
        <v>82</v>
      </c>
      <c r="C133" s="28"/>
      <c r="D133" s="28"/>
      <c r="E133" s="28"/>
      <c r="F133" s="29"/>
      <c r="G133" s="28"/>
      <c r="H133" s="28"/>
      <c r="I133" s="28"/>
      <c r="J133" s="28"/>
      <c r="K133" s="28"/>
      <c r="L133" s="28"/>
      <c r="M133" s="28"/>
      <c r="N133" s="30"/>
    </row>
    <row r="134" spans="1:14" s="99" customFormat="1" ht="15" x14ac:dyDescent="0.2">
      <c r="A134" s="40"/>
      <c r="B134" s="58"/>
      <c r="C134" s="28"/>
      <c r="D134" s="28"/>
      <c r="E134" s="28"/>
      <c r="F134" s="29"/>
      <c r="G134" s="28"/>
      <c r="H134" s="28"/>
      <c r="I134" s="28"/>
      <c r="J134" s="28"/>
      <c r="K134" s="28"/>
      <c r="L134" s="28"/>
      <c r="M134" s="28"/>
      <c r="N134" s="30"/>
    </row>
    <row r="135" spans="1:14" s="99" customFormat="1" ht="15" x14ac:dyDescent="0.2">
      <c r="A135" s="40"/>
      <c r="B135" s="58" t="s">
        <v>83</v>
      </c>
      <c r="C135" s="28"/>
      <c r="D135" s="28"/>
      <c r="E135" s="28"/>
      <c r="F135" s="29"/>
      <c r="G135" s="28"/>
      <c r="H135" s="28"/>
      <c r="I135" s="28"/>
      <c r="J135" s="28"/>
      <c r="K135" s="28"/>
      <c r="L135" s="28"/>
      <c r="M135" s="28"/>
      <c r="N135" s="30"/>
    </row>
    <row r="136" spans="1:14" s="99" customFormat="1" ht="15" x14ac:dyDescent="0.2">
      <c r="A136" s="40"/>
      <c r="B136" s="58" t="s">
        <v>151</v>
      </c>
      <c r="C136" s="28"/>
      <c r="D136" s="28"/>
      <c r="E136" s="28"/>
      <c r="F136" s="29"/>
      <c r="G136" s="28"/>
      <c r="H136" s="28"/>
      <c r="I136" s="28"/>
      <c r="J136" s="28"/>
      <c r="K136" s="28"/>
      <c r="L136" s="28"/>
      <c r="M136" s="28"/>
      <c r="N136" s="30"/>
    </row>
    <row r="137" spans="1:14" s="99" customFormat="1" ht="15" x14ac:dyDescent="0.2">
      <c r="A137" s="40"/>
      <c r="B137" s="58"/>
      <c r="C137" s="28"/>
      <c r="D137" s="28"/>
      <c r="E137" s="28"/>
      <c r="F137" s="29"/>
      <c r="G137" s="28"/>
      <c r="H137" s="28"/>
      <c r="I137" s="28"/>
      <c r="J137" s="28"/>
      <c r="K137" s="28"/>
      <c r="L137" s="28"/>
      <c r="M137" s="28"/>
      <c r="N137" s="30"/>
    </row>
    <row r="138" spans="1:14" s="99" customFormat="1" ht="15" x14ac:dyDescent="0.2">
      <c r="A138" s="40"/>
      <c r="B138" s="58" t="s">
        <v>152</v>
      </c>
      <c r="C138" s="28"/>
      <c r="D138" s="28"/>
      <c r="E138" s="28"/>
      <c r="F138" s="29"/>
      <c r="G138" s="28"/>
      <c r="H138" s="28"/>
      <c r="I138" s="28"/>
      <c r="J138" s="28"/>
      <c r="K138" s="28"/>
      <c r="L138" s="28"/>
      <c r="M138" s="28"/>
      <c r="N138" s="30"/>
    </row>
    <row r="139" spans="1:14" s="99" customFormat="1" ht="15" x14ac:dyDescent="0.2">
      <c r="A139" s="40"/>
      <c r="B139" s="58" t="s">
        <v>86</v>
      </c>
      <c r="C139" s="28"/>
      <c r="D139" s="28"/>
      <c r="E139" s="28"/>
      <c r="F139" s="29"/>
      <c r="G139" s="28"/>
      <c r="H139" s="28"/>
      <c r="I139" s="28"/>
      <c r="J139" s="28"/>
      <c r="K139" s="28"/>
      <c r="L139" s="28"/>
      <c r="M139" s="28"/>
      <c r="N139" s="30"/>
    </row>
    <row r="140" spans="1:14" s="99" customFormat="1" ht="15" x14ac:dyDescent="0.2">
      <c r="A140" s="40"/>
      <c r="B140" s="58"/>
      <c r="C140" s="28"/>
      <c r="D140" s="28"/>
      <c r="E140" s="28"/>
      <c r="F140" s="29"/>
      <c r="G140" s="28"/>
      <c r="H140" s="28"/>
      <c r="I140" s="28"/>
      <c r="J140" s="28"/>
      <c r="K140" s="28"/>
      <c r="L140" s="28"/>
      <c r="M140" s="28"/>
      <c r="N140" s="30"/>
    </row>
    <row r="141" spans="1:14" s="99" customFormat="1" ht="15" x14ac:dyDescent="0.2">
      <c r="A141" s="40"/>
      <c r="B141" s="58" t="s">
        <v>87</v>
      </c>
      <c r="C141" s="28"/>
      <c r="D141" s="28"/>
      <c r="E141" s="28"/>
      <c r="F141" s="29"/>
      <c r="G141" s="28"/>
      <c r="H141" s="28"/>
      <c r="I141" s="28"/>
      <c r="J141" s="28"/>
      <c r="K141" s="28"/>
      <c r="L141" s="28"/>
      <c r="M141" s="28"/>
      <c r="N141" s="30"/>
    </row>
    <row r="142" spans="1:14" s="99" customFormat="1" ht="15" x14ac:dyDescent="0.2">
      <c r="A142" s="40"/>
      <c r="B142" s="58"/>
      <c r="C142" s="28"/>
      <c r="D142" s="28"/>
      <c r="E142" s="28"/>
      <c r="F142" s="29"/>
      <c r="G142" s="28"/>
      <c r="H142" s="28"/>
      <c r="I142" s="28"/>
      <c r="J142" s="28"/>
      <c r="K142" s="28"/>
      <c r="L142" s="28"/>
      <c r="M142" s="28"/>
      <c r="N142" s="30"/>
    </row>
    <row r="143" spans="1:14" s="99" customFormat="1" ht="15" x14ac:dyDescent="0.2">
      <c r="A143" s="40"/>
      <c r="B143" s="58" t="s">
        <v>88</v>
      </c>
      <c r="C143" s="28"/>
      <c r="D143" s="28"/>
      <c r="E143" s="28"/>
      <c r="F143" s="29"/>
      <c r="G143" s="28"/>
      <c r="H143" s="28"/>
      <c r="I143" s="28"/>
      <c r="J143" s="28"/>
      <c r="K143" s="28"/>
      <c r="L143" s="28"/>
      <c r="M143" s="28"/>
      <c r="N143" s="30"/>
    </row>
    <row r="144" spans="1:14" s="99" customFormat="1" ht="15" x14ac:dyDescent="0.2">
      <c r="A144" s="40"/>
      <c r="B144" s="59" t="s">
        <v>89</v>
      </c>
      <c r="C144" s="28"/>
      <c r="D144" s="28"/>
      <c r="E144" s="28"/>
      <c r="F144" s="29"/>
      <c r="G144" s="28"/>
      <c r="H144" s="28"/>
      <c r="I144" s="28"/>
      <c r="J144" s="28"/>
      <c r="K144" s="28"/>
      <c r="L144" s="28"/>
      <c r="M144" s="28"/>
      <c r="N144" s="30"/>
    </row>
    <row r="145" spans="1:14" s="99" customFormat="1" ht="15" x14ac:dyDescent="0.2">
      <c r="A145" s="40"/>
      <c r="B145" s="59" t="s">
        <v>90</v>
      </c>
      <c r="C145" s="28"/>
      <c r="D145" s="28"/>
      <c r="E145" s="28"/>
      <c r="F145" s="29"/>
      <c r="G145" s="28"/>
      <c r="H145" s="28"/>
      <c r="I145" s="28"/>
      <c r="J145" s="28"/>
      <c r="K145" s="28"/>
      <c r="L145" s="28"/>
      <c r="M145" s="28"/>
      <c r="N145" s="30"/>
    </row>
    <row r="146" spans="1:14" s="99" customFormat="1" ht="15" x14ac:dyDescent="0.2">
      <c r="A146" s="40"/>
      <c r="B146" s="59" t="s">
        <v>92</v>
      </c>
      <c r="C146" s="28"/>
      <c r="D146" s="28"/>
      <c r="E146" s="28"/>
      <c r="F146" s="29"/>
      <c r="G146" s="28"/>
      <c r="H146" s="28"/>
      <c r="I146" s="28"/>
      <c r="J146" s="28"/>
      <c r="K146" s="28"/>
      <c r="L146" s="28"/>
      <c r="M146" s="28"/>
      <c r="N146" s="30"/>
    </row>
    <row r="147" spans="1:14" s="99" customFormat="1" ht="15" x14ac:dyDescent="0.2">
      <c r="A147" s="40"/>
      <c r="B147" s="59" t="s">
        <v>93</v>
      </c>
      <c r="C147" s="28"/>
      <c r="D147" s="28"/>
      <c r="E147" s="28"/>
      <c r="F147" s="29"/>
      <c r="G147" s="28"/>
      <c r="H147" s="28"/>
      <c r="I147" s="28"/>
      <c r="J147" s="28"/>
      <c r="K147" s="28"/>
      <c r="L147" s="28"/>
      <c r="M147" s="28"/>
      <c r="N147" s="30"/>
    </row>
    <row r="148" spans="1:14" s="99" customFormat="1" ht="15" x14ac:dyDescent="0.2">
      <c r="A148" s="40"/>
      <c r="B148" s="59"/>
      <c r="C148" s="28"/>
      <c r="D148" s="28"/>
      <c r="E148" s="28"/>
      <c r="F148" s="29"/>
      <c r="G148" s="28"/>
      <c r="H148" s="28"/>
      <c r="I148" s="28"/>
      <c r="J148" s="28"/>
      <c r="K148" s="28"/>
      <c r="L148" s="28"/>
      <c r="M148" s="28"/>
      <c r="N148" s="30"/>
    </row>
    <row r="149" spans="1:14" s="99" customFormat="1" ht="15" x14ac:dyDescent="0.2">
      <c r="A149" s="40"/>
      <c r="B149" s="59" t="s">
        <v>94</v>
      </c>
      <c r="C149" s="28"/>
      <c r="D149" s="28"/>
      <c r="E149" s="28"/>
      <c r="F149" s="29"/>
      <c r="G149" s="28"/>
      <c r="H149" s="28"/>
      <c r="I149" s="28"/>
      <c r="J149" s="28"/>
      <c r="K149" s="28"/>
      <c r="L149" s="28"/>
      <c r="M149" s="28"/>
      <c r="N149" s="30"/>
    </row>
    <row r="150" spans="1:14" s="99" customFormat="1" ht="15" x14ac:dyDescent="0.2">
      <c r="A150" s="40"/>
      <c r="B150" s="59" t="s">
        <v>153</v>
      </c>
      <c r="C150" s="28"/>
      <c r="D150" s="28"/>
      <c r="E150" s="28"/>
      <c r="F150" s="29"/>
      <c r="G150" s="28"/>
      <c r="H150" s="28"/>
      <c r="I150" s="28"/>
      <c r="J150" s="28"/>
      <c r="K150" s="28"/>
      <c r="L150" s="28"/>
      <c r="M150" s="28"/>
      <c r="N150" s="30"/>
    </row>
    <row r="151" spans="1:14" s="99" customFormat="1" ht="15" x14ac:dyDescent="0.2">
      <c r="A151" s="40"/>
      <c r="B151" s="59" t="s">
        <v>154</v>
      </c>
      <c r="C151" s="28"/>
      <c r="D151" s="28"/>
      <c r="E151" s="28"/>
      <c r="F151" s="29"/>
      <c r="G151" s="28"/>
      <c r="H151" s="28"/>
      <c r="I151" s="28"/>
      <c r="J151" s="28"/>
      <c r="K151" s="28"/>
      <c r="L151" s="28"/>
      <c r="M151" s="28"/>
      <c r="N151" s="30"/>
    </row>
    <row r="152" spans="1:14" s="99" customFormat="1" ht="15" x14ac:dyDescent="0.2">
      <c r="A152" s="40"/>
      <c r="B152" s="60"/>
      <c r="C152" s="28"/>
      <c r="D152" s="28"/>
      <c r="E152" s="28"/>
      <c r="F152" s="29"/>
      <c r="G152" s="28"/>
      <c r="H152" s="28"/>
      <c r="I152" s="28"/>
      <c r="J152" s="28"/>
      <c r="K152" s="28"/>
      <c r="L152" s="28"/>
      <c r="M152" s="28"/>
      <c r="N152" s="30"/>
    </row>
    <row r="153" spans="1:14" s="99" customFormat="1" ht="15" x14ac:dyDescent="0.2">
      <c r="A153" s="40"/>
      <c r="B153" s="60"/>
      <c r="C153" s="28"/>
      <c r="D153" s="28"/>
      <c r="E153" s="28"/>
      <c r="F153" s="29"/>
      <c r="G153" s="28"/>
      <c r="H153" s="28"/>
      <c r="I153" s="28"/>
      <c r="J153" s="28"/>
      <c r="K153" s="28"/>
      <c r="L153" s="28"/>
      <c r="M153" s="28"/>
      <c r="N153" s="30"/>
    </row>
    <row r="154" spans="1:14" s="99" customFormat="1" ht="15.75" x14ac:dyDescent="0.2">
      <c r="A154" s="50" t="str">
        <f>IF(A155&gt;0,"CON","SIN")</f>
        <v>SIN</v>
      </c>
      <c r="B154" s="42" t="s">
        <v>179</v>
      </c>
      <c r="C154" s="28"/>
      <c r="D154" s="28"/>
      <c r="E154" s="28"/>
      <c r="F154" s="29"/>
      <c r="G154" s="28"/>
      <c r="H154" s="28"/>
      <c r="I154" s="28"/>
      <c r="J154" s="28"/>
      <c r="K154" s="28"/>
      <c r="L154" s="28"/>
      <c r="M154" s="28"/>
      <c r="N154" s="48">
        <f>IF(A154="CON",Auxiliar!C56,0)</f>
        <v>0</v>
      </c>
    </row>
    <row r="155" spans="1:14" s="99" customFormat="1" ht="15.75" x14ac:dyDescent="0.2">
      <c r="A155" s="50">
        <f>IF(TRep=0,,TRep)</f>
        <v>0</v>
      </c>
      <c r="B155" s="42" t="s">
        <v>185</v>
      </c>
      <c r="C155" s="28"/>
      <c r="D155" s="28"/>
      <c r="E155" s="28"/>
      <c r="F155" s="29"/>
      <c r="G155" s="28"/>
      <c r="H155" s="28"/>
      <c r="I155" s="28"/>
      <c r="J155" s="28"/>
      <c r="K155" s="28"/>
      <c r="L155" s="28"/>
      <c r="M155" s="28"/>
      <c r="N155" s="48">
        <f>IF(A155&gt;0,Auxiliar!F60,0)</f>
        <v>0</v>
      </c>
    </row>
    <row r="156" spans="1:14" s="99" customFormat="1" ht="15.75" x14ac:dyDescent="0.2">
      <c r="A156" s="40"/>
      <c r="B156" s="42"/>
      <c r="C156" s="28"/>
      <c r="D156" s="28"/>
      <c r="E156" s="28"/>
      <c r="F156" s="29"/>
      <c r="G156" s="28"/>
      <c r="H156" s="28"/>
      <c r="I156" s="28"/>
      <c r="J156" s="28"/>
      <c r="K156" s="28"/>
      <c r="L156" s="28"/>
      <c r="M156" s="28"/>
      <c r="N156" s="30"/>
    </row>
    <row r="157" spans="1:14" s="99" customFormat="1" ht="15.75" x14ac:dyDescent="0.2">
      <c r="A157" s="40"/>
      <c r="B157" s="75" t="s">
        <v>180</v>
      </c>
      <c r="C157" s="28"/>
      <c r="D157" s="28"/>
      <c r="E157" s="28"/>
      <c r="F157" s="29"/>
      <c r="G157" s="28"/>
      <c r="H157" s="28"/>
      <c r="I157" s="28"/>
      <c r="J157" s="28"/>
      <c r="K157" s="28"/>
      <c r="L157" s="28"/>
      <c r="M157" s="28"/>
      <c r="N157" s="48">
        <f>IF(A154="SIN",0,Auxiliar!G60)</f>
        <v>0</v>
      </c>
    </row>
    <row r="158" spans="1:14" s="99" customFormat="1" ht="15.75" x14ac:dyDescent="0.2">
      <c r="A158" s="40"/>
      <c r="B158" s="75"/>
      <c r="C158" s="28"/>
      <c r="D158" s="28"/>
      <c r="E158" s="28"/>
      <c r="F158" s="29"/>
      <c r="G158" s="28"/>
      <c r="H158" s="28"/>
      <c r="I158" s="28"/>
      <c r="J158" s="28"/>
      <c r="K158" s="28"/>
      <c r="L158" s="28"/>
      <c r="M158" s="28"/>
      <c r="N158" s="48"/>
    </row>
    <row r="159" spans="1:14" s="99" customFormat="1" ht="15.75" x14ac:dyDescent="0.2">
      <c r="A159" s="40"/>
      <c r="B159" s="75"/>
      <c r="C159" s="28"/>
      <c r="D159" s="28"/>
      <c r="E159" s="28"/>
      <c r="F159" s="29"/>
      <c r="G159" s="28"/>
      <c r="H159" s="28"/>
      <c r="I159" s="28"/>
      <c r="J159" s="28"/>
      <c r="K159" s="28"/>
      <c r="L159" s="28"/>
      <c r="M159" s="28"/>
      <c r="N159" s="48"/>
    </row>
    <row r="160" spans="1:14" s="99" customFormat="1" ht="15.75" x14ac:dyDescent="0.2">
      <c r="A160" s="40"/>
      <c r="B160" s="75"/>
      <c r="C160" s="28"/>
      <c r="D160" s="28"/>
      <c r="E160" s="28"/>
      <c r="F160" s="29"/>
      <c r="G160" s="28"/>
      <c r="H160" s="28"/>
      <c r="I160" s="28"/>
      <c r="J160" s="28"/>
      <c r="K160" s="28"/>
      <c r="L160" s="28"/>
      <c r="M160" s="28"/>
      <c r="N160" s="48"/>
    </row>
    <row r="161" spans="1:14" s="99" customFormat="1" ht="15.75" x14ac:dyDescent="0.2">
      <c r="A161" s="40"/>
      <c r="B161" s="75"/>
      <c r="C161" s="28"/>
      <c r="D161" s="28"/>
      <c r="E161" s="28"/>
      <c r="F161" s="29"/>
      <c r="G161" s="28"/>
      <c r="H161" s="28"/>
      <c r="I161" s="28"/>
      <c r="J161" s="28"/>
      <c r="K161" s="28"/>
      <c r="L161" s="28"/>
      <c r="M161" s="28"/>
      <c r="N161" s="48"/>
    </row>
    <row r="162" spans="1:14" s="99" customFormat="1" ht="15.75" x14ac:dyDescent="0.2">
      <c r="A162" s="40"/>
      <c r="B162" s="75"/>
      <c r="C162" s="28"/>
      <c r="D162" s="28"/>
      <c r="E162" s="28"/>
      <c r="F162" s="29"/>
      <c r="G162" s="28"/>
      <c r="H162" s="28"/>
      <c r="I162" s="28"/>
      <c r="J162" s="28"/>
      <c r="K162" s="28"/>
      <c r="L162" s="28"/>
      <c r="M162" s="28"/>
      <c r="N162" s="48"/>
    </row>
    <row r="163" spans="1:14" s="99" customFormat="1" ht="15.75" x14ac:dyDescent="0.2">
      <c r="A163" s="40"/>
      <c r="B163" s="75"/>
      <c r="C163" s="28"/>
      <c r="D163" s="28"/>
      <c r="E163" s="28"/>
      <c r="F163" s="29"/>
      <c r="G163" s="28"/>
      <c r="H163" s="28"/>
      <c r="I163" s="28"/>
      <c r="J163" s="28"/>
      <c r="K163" s="28"/>
      <c r="L163" s="28"/>
      <c r="M163" s="28"/>
      <c r="N163" s="48"/>
    </row>
    <row r="164" spans="1:14" ht="15.75" x14ac:dyDescent="0.2">
      <c r="A164" s="40"/>
      <c r="B164" s="42"/>
      <c r="C164" s="28"/>
      <c r="D164" s="28"/>
      <c r="E164" s="28"/>
      <c r="F164" s="29"/>
      <c r="G164" s="28"/>
      <c r="H164" s="28"/>
      <c r="I164" s="28"/>
      <c r="J164" s="28"/>
      <c r="K164" s="28"/>
      <c r="L164" s="28"/>
      <c r="M164" s="28"/>
      <c r="N164" s="30"/>
    </row>
    <row r="165" spans="1:14" s="99" customFormat="1" ht="15.75" x14ac:dyDescent="0.2">
      <c r="A165" s="40"/>
      <c r="B165" s="42"/>
      <c r="C165" s="28"/>
      <c r="D165" s="28"/>
      <c r="E165" s="28"/>
      <c r="F165" s="29"/>
      <c r="G165" s="28"/>
      <c r="H165" s="28"/>
      <c r="I165" s="28"/>
      <c r="J165" s="28"/>
      <c r="K165" s="28"/>
      <c r="L165" s="28"/>
      <c r="M165" s="28"/>
      <c r="N165" s="30"/>
    </row>
    <row r="166" spans="1:14" s="99" customFormat="1" ht="15.75" x14ac:dyDescent="0.2">
      <c r="A166" s="40"/>
      <c r="B166" s="42"/>
      <c r="C166" s="28"/>
      <c r="D166" s="28"/>
      <c r="E166" s="28"/>
      <c r="F166" s="29"/>
      <c r="G166" s="28"/>
      <c r="H166" s="28"/>
      <c r="I166" s="28"/>
      <c r="J166" s="28"/>
      <c r="K166" s="28"/>
      <c r="L166" s="28"/>
      <c r="M166" s="28"/>
      <c r="N166" s="30"/>
    </row>
    <row r="167" spans="1:14" s="99" customFormat="1" ht="15.75" x14ac:dyDescent="0.2">
      <c r="A167" s="40"/>
      <c r="B167" s="42"/>
      <c r="C167" s="28"/>
      <c r="D167" s="28"/>
      <c r="E167" s="28"/>
      <c r="F167" s="29"/>
      <c r="G167" s="28"/>
      <c r="H167" s="28"/>
      <c r="I167" s="28"/>
      <c r="J167" s="28"/>
      <c r="K167" s="28"/>
      <c r="L167" s="28"/>
      <c r="M167" s="28"/>
      <c r="N167" s="30"/>
    </row>
    <row r="168" spans="1:14" ht="15.75" x14ac:dyDescent="0.2">
      <c r="A168" s="40"/>
      <c r="B168" s="61" t="s">
        <v>99</v>
      </c>
      <c r="C168" s="28"/>
      <c r="D168" s="28"/>
      <c r="E168" s="28"/>
      <c r="F168" s="29"/>
      <c r="G168" s="28"/>
      <c r="H168" s="28"/>
      <c r="I168" s="28"/>
      <c r="J168" s="28"/>
      <c r="K168" s="28"/>
      <c r="L168" s="28"/>
      <c r="M168" s="28"/>
      <c r="N168" s="48"/>
    </row>
    <row r="169" spans="1:14" ht="15.75" x14ac:dyDescent="0.2">
      <c r="A169" s="40"/>
      <c r="B169" s="42"/>
      <c r="C169" s="28"/>
      <c r="D169" s="28"/>
      <c r="E169" s="28"/>
      <c r="F169" s="29"/>
      <c r="G169" s="28"/>
      <c r="H169" s="28"/>
      <c r="I169" s="28"/>
      <c r="J169" s="28"/>
      <c r="K169" s="28"/>
      <c r="L169" s="28"/>
      <c r="M169" s="28"/>
      <c r="N169" s="48"/>
    </row>
    <row r="170" spans="1:14" ht="15.75" x14ac:dyDescent="0.2">
      <c r="A170" s="40"/>
      <c r="B170" s="42"/>
      <c r="C170" s="28"/>
      <c r="D170" s="28"/>
      <c r="E170" s="28"/>
      <c r="F170" s="29"/>
      <c r="G170" s="28"/>
      <c r="H170" s="28"/>
      <c r="I170" s="28"/>
      <c r="J170" s="28"/>
      <c r="K170" s="28"/>
      <c r="L170" s="28"/>
      <c r="M170" s="28"/>
      <c r="N170" s="48"/>
    </row>
    <row r="171" spans="1:14" ht="15" x14ac:dyDescent="0.2">
      <c r="A171" s="40"/>
      <c r="B171" s="27" t="s">
        <v>133</v>
      </c>
      <c r="C171" s="28"/>
      <c r="D171" s="28"/>
      <c r="E171" s="28"/>
      <c r="F171" s="29"/>
      <c r="G171" s="28"/>
      <c r="H171" s="28"/>
      <c r="I171" s="28"/>
      <c r="J171" s="28"/>
      <c r="K171" s="28"/>
      <c r="L171" s="28"/>
      <c r="M171" s="28"/>
      <c r="N171" s="73">
        <f>(Carta!A10+Carta!A11)</f>
        <v>1250</v>
      </c>
    </row>
    <row r="172" spans="1:14" ht="15" x14ac:dyDescent="0.2">
      <c r="A172" s="40"/>
      <c r="B172" s="27"/>
      <c r="C172" s="28"/>
      <c r="D172" s="28"/>
      <c r="E172" s="28"/>
      <c r="F172" s="29"/>
      <c r="G172" s="28"/>
      <c r="H172" s="28"/>
      <c r="I172" s="28"/>
      <c r="J172" s="28"/>
      <c r="K172" s="28"/>
      <c r="L172" s="28"/>
      <c r="M172" s="28"/>
      <c r="N172" s="30"/>
    </row>
    <row r="173" spans="1:14" ht="15" x14ac:dyDescent="0.2">
      <c r="A173" s="40"/>
      <c r="B173" s="27" t="s">
        <v>156</v>
      </c>
      <c r="C173" s="28"/>
      <c r="D173" s="28"/>
      <c r="E173" s="28"/>
      <c r="F173" s="29"/>
      <c r="G173" s="28"/>
      <c r="H173" s="28"/>
      <c r="I173" s="28"/>
      <c r="J173" s="28"/>
      <c r="K173" s="28"/>
      <c r="L173" s="28"/>
      <c r="M173" s="28"/>
      <c r="N173" s="73">
        <f>CONFECCION!F44</f>
        <v>0</v>
      </c>
    </row>
    <row r="174" spans="1:14" s="99" customFormat="1" ht="15" x14ac:dyDescent="0.2">
      <c r="A174" s="40"/>
      <c r="B174" s="27"/>
      <c r="C174" s="28"/>
      <c r="D174" s="28"/>
      <c r="E174" s="28"/>
      <c r="F174" s="29"/>
      <c r="G174" s="28"/>
      <c r="H174" s="28"/>
      <c r="I174" s="28"/>
      <c r="J174" s="28"/>
      <c r="K174" s="28"/>
      <c r="L174" s="28"/>
      <c r="M174" s="28"/>
      <c r="N174" s="73"/>
    </row>
    <row r="175" spans="1:14" s="99" customFormat="1" ht="15" x14ac:dyDescent="0.2">
      <c r="A175" s="40"/>
      <c r="B175" s="27" t="s">
        <v>155</v>
      </c>
      <c r="C175" s="28"/>
      <c r="D175" s="28"/>
      <c r="E175" s="28"/>
      <c r="F175" s="29"/>
      <c r="G175" s="28"/>
      <c r="H175" s="28"/>
      <c r="I175" s="28"/>
      <c r="J175" s="28"/>
      <c r="K175" s="28"/>
      <c r="L175" s="28"/>
      <c r="M175" s="28"/>
      <c r="N175" s="73">
        <f>CONFECCION!F46</f>
        <v>0</v>
      </c>
    </row>
    <row r="176" spans="1:14" ht="15.75" x14ac:dyDescent="0.2">
      <c r="A176" s="40"/>
      <c r="B176" s="42"/>
      <c r="C176" s="28"/>
      <c r="D176" s="28"/>
      <c r="E176" s="28"/>
      <c r="F176" s="29"/>
      <c r="G176" s="28"/>
      <c r="H176" s="28"/>
      <c r="I176" s="28"/>
      <c r="J176" s="28"/>
      <c r="K176" s="28"/>
      <c r="L176" s="28"/>
      <c r="M176" s="28"/>
      <c r="N176" s="48"/>
    </row>
    <row r="177" spans="1:17" ht="15.75" x14ac:dyDescent="0.2">
      <c r="A177" s="89">
        <f>CONFECCION!IF</f>
        <v>0</v>
      </c>
      <c r="B177" s="27" t="s">
        <v>100</v>
      </c>
      <c r="C177" s="28"/>
      <c r="D177" s="28"/>
      <c r="E177" s="28"/>
      <c r="F177" s="29"/>
      <c r="G177" s="28"/>
      <c r="H177" s="28"/>
      <c r="I177" s="28"/>
      <c r="J177" s="28"/>
      <c r="K177" s="28"/>
      <c r="L177" s="28"/>
      <c r="M177" s="28"/>
      <c r="N177" s="73">
        <f>Auxiliar!F54</f>
        <v>0</v>
      </c>
    </row>
    <row r="178" spans="1:17" s="90" customFormat="1" ht="15.75" x14ac:dyDescent="0.2">
      <c r="A178" s="89"/>
      <c r="B178" s="27"/>
      <c r="C178" s="28"/>
      <c r="D178" s="28"/>
      <c r="E178" s="28"/>
      <c r="F178" s="29"/>
      <c r="G178" s="28"/>
      <c r="H178" s="28"/>
      <c r="I178" s="28"/>
      <c r="J178" s="28"/>
      <c r="K178" s="28"/>
      <c r="L178" s="28"/>
      <c r="M178" s="28"/>
      <c r="N178" s="73"/>
    </row>
    <row r="179" spans="1:17" ht="15.75" x14ac:dyDescent="0.2">
      <c r="A179" s="40"/>
      <c r="B179" s="42"/>
      <c r="C179" s="28"/>
      <c r="D179" s="28"/>
      <c r="E179" s="28"/>
      <c r="F179" s="29"/>
      <c r="G179" s="28"/>
      <c r="H179" s="28"/>
      <c r="I179" s="28"/>
      <c r="J179" s="28"/>
      <c r="K179" s="28"/>
      <c r="L179" s="28"/>
      <c r="M179" s="28"/>
      <c r="N179" s="48"/>
    </row>
    <row r="180" spans="1:17" ht="15.75" x14ac:dyDescent="0.2">
      <c r="A180" s="40"/>
      <c r="B180" s="42" t="s">
        <v>101</v>
      </c>
      <c r="C180" s="28"/>
      <c r="D180" s="28"/>
      <c r="E180" s="28"/>
      <c r="F180" s="29"/>
      <c r="G180" s="28"/>
      <c r="H180" s="28"/>
      <c r="I180" s="28"/>
      <c r="J180" s="28"/>
      <c r="K180" s="28"/>
      <c r="L180" s="28"/>
      <c r="M180" s="28"/>
      <c r="N180" s="82">
        <f>SUM(N171:N179)</f>
        <v>1250</v>
      </c>
    </row>
    <row r="181" spans="1:17" ht="15.75" x14ac:dyDescent="0.2">
      <c r="A181" s="40"/>
      <c r="B181" s="42"/>
      <c r="C181" s="28"/>
      <c r="D181" s="28"/>
      <c r="E181" s="28"/>
      <c r="F181" s="29"/>
      <c r="G181" s="28"/>
      <c r="H181" s="28"/>
      <c r="I181" s="28"/>
      <c r="J181" s="28"/>
      <c r="K181" s="28"/>
      <c r="L181" s="28"/>
      <c r="M181" s="28"/>
      <c r="N181" s="48"/>
    </row>
    <row r="182" spans="1:17" ht="15.75" x14ac:dyDescent="0.25">
      <c r="B182" s="62" t="s">
        <v>102</v>
      </c>
      <c r="C182" s="10"/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10"/>
    </row>
    <row r="183" spans="1:17" ht="15.75" x14ac:dyDescent="0.25">
      <c r="B183" s="63" t="s">
        <v>103</v>
      </c>
      <c r="C183" s="26"/>
      <c r="D183" s="26"/>
      <c r="E183" s="26"/>
      <c r="F183" s="26"/>
      <c r="G183" s="26"/>
      <c r="H183" s="26"/>
      <c r="I183" s="26"/>
      <c r="J183" s="26"/>
      <c r="K183" s="26"/>
      <c r="L183" s="26"/>
      <c r="M183" s="26"/>
      <c r="N183" s="64"/>
      <c r="O183" s="26"/>
      <c r="P183" s="26"/>
      <c r="Q183" s="31"/>
    </row>
    <row r="184" spans="1:17" ht="15.75" x14ac:dyDescent="0.25">
      <c r="B184" s="65" t="s">
        <v>104</v>
      </c>
      <c r="C184" s="26"/>
      <c r="D184" s="26"/>
      <c r="E184" s="26"/>
      <c r="F184" s="26"/>
      <c r="G184" s="26"/>
      <c r="H184" s="26"/>
      <c r="I184" s="26"/>
      <c r="J184" s="26"/>
      <c r="K184" s="26"/>
      <c r="L184" s="26"/>
      <c r="M184" s="26"/>
      <c r="N184" s="64"/>
      <c r="O184" s="26"/>
      <c r="P184" s="26"/>
      <c r="Q184" s="31"/>
    </row>
    <row r="185" spans="1:17" ht="15" x14ac:dyDescent="0.2">
      <c r="B185" s="26"/>
      <c r="C185" s="26"/>
      <c r="D185" s="26"/>
      <c r="E185" s="26"/>
      <c r="F185" s="26"/>
      <c r="G185" s="26"/>
      <c r="H185" s="26"/>
      <c r="I185" s="26"/>
      <c r="J185" s="26"/>
      <c r="K185" s="26"/>
      <c r="L185" s="26"/>
      <c r="M185" s="26"/>
      <c r="N185" s="33"/>
      <c r="O185" s="26"/>
      <c r="P185" s="26"/>
      <c r="Q185" s="31"/>
    </row>
    <row r="186" spans="1:17" ht="15.75" x14ac:dyDescent="0.25">
      <c r="B186" s="66" t="s">
        <v>105</v>
      </c>
      <c r="C186" s="26"/>
      <c r="D186" s="26"/>
      <c r="E186" s="26"/>
      <c r="F186" s="26"/>
      <c r="G186" s="26"/>
      <c r="H186" s="26"/>
      <c r="I186" s="26"/>
      <c r="J186" s="26"/>
      <c r="K186" s="26"/>
      <c r="L186" s="26"/>
      <c r="M186" s="26"/>
      <c r="N186" s="83">
        <f>CONFECCION!F52</f>
        <v>140</v>
      </c>
      <c r="O186" s="26"/>
      <c r="P186" s="26"/>
      <c r="Q186" s="31"/>
    </row>
    <row r="188" spans="1:17" ht="15.75" x14ac:dyDescent="0.25">
      <c r="B188" s="62" t="s">
        <v>106</v>
      </c>
      <c r="C188" s="10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</row>
    <row r="189" spans="1:17" ht="15" x14ac:dyDescent="0.2">
      <c r="B189" s="68"/>
      <c r="C189" s="26"/>
      <c r="D189" s="26"/>
      <c r="E189" s="26"/>
      <c r="F189" s="26"/>
      <c r="G189" s="26"/>
      <c r="H189" s="26"/>
      <c r="I189" s="26"/>
      <c r="J189" s="26"/>
      <c r="K189" s="26"/>
      <c r="L189" s="26"/>
      <c r="M189" s="26"/>
      <c r="N189" s="33"/>
      <c r="O189" s="26"/>
      <c r="P189" s="26"/>
      <c r="Q189" s="31"/>
    </row>
    <row r="190" spans="1:17" ht="15.75" x14ac:dyDescent="0.25">
      <c r="B190" s="62" t="s">
        <v>107</v>
      </c>
      <c r="C190" s="26"/>
      <c r="D190" s="26"/>
      <c r="E190" s="26"/>
      <c r="F190" s="26"/>
      <c r="G190" s="26"/>
      <c r="H190" s="26"/>
      <c r="I190" s="26"/>
      <c r="J190" s="26"/>
      <c r="K190" s="26"/>
      <c r="L190" s="26"/>
      <c r="M190" s="26"/>
      <c r="N190" s="33"/>
      <c r="O190" s="26"/>
      <c r="P190" s="26"/>
      <c r="Q190" s="31"/>
    </row>
    <row r="191" spans="1:17" s="93" customFormat="1" ht="15" x14ac:dyDescent="0.2">
      <c r="B191" s="26" t="s">
        <v>173</v>
      </c>
      <c r="C191" s="26"/>
      <c r="D191" s="26"/>
      <c r="E191" s="26"/>
      <c r="F191" s="26"/>
      <c r="G191" s="26"/>
      <c r="H191" s="26"/>
      <c r="I191" s="26"/>
      <c r="J191" s="26"/>
      <c r="K191" s="26"/>
      <c r="L191" s="26"/>
      <c r="M191" s="26"/>
      <c r="N191" s="33"/>
      <c r="O191" s="26"/>
      <c r="P191" s="26"/>
      <c r="Q191" s="31"/>
    </row>
    <row r="192" spans="1:17" ht="15" x14ac:dyDescent="0.2">
      <c r="B192" s="78" t="s">
        <v>174</v>
      </c>
      <c r="C192" s="26"/>
      <c r="D192" s="26"/>
      <c r="E192" s="26"/>
      <c r="F192" s="26"/>
      <c r="G192" s="26"/>
      <c r="H192" s="26"/>
      <c r="I192" s="26"/>
      <c r="J192" s="26"/>
      <c r="K192" s="26"/>
      <c r="L192" s="26"/>
      <c r="M192" s="26"/>
      <c r="O192" s="26"/>
      <c r="P192" s="26"/>
      <c r="Q192" s="31"/>
    </row>
    <row r="193" spans="1:17" ht="15" x14ac:dyDescent="0.2">
      <c r="B193" s="92" t="s">
        <v>175</v>
      </c>
      <c r="C193" s="26"/>
      <c r="D193" s="26"/>
      <c r="E193" s="26"/>
      <c r="F193" s="26"/>
      <c r="G193" s="26"/>
      <c r="H193" s="26"/>
      <c r="I193" s="26"/>
      <c r="J193" s="26"/>
      <c r="K193" s="26"/>
      <c r="L193" s="26"/>
      <c r="M193" s="26"/>
      <c r="N193" s="33">
        <f>(N180/12)+((N180/12)*21/100)</f>
        <v>126.04166666666667</v>
      </c>
      <c r="O193" s="26"/>
      <c r="P193" s="26"/>
      <c r="Q193" s="31"/>
    </row>
    <row r="194" spans="1:17" s="91" customFormat="1" ht="15" x14ac:dyDescent="0.2">
      <c r="B194" s="92"/>
      <c r="C194" s="26"/>
      <c r="D194" s="26"/>
      <c r="E194" s="26"/>
      <c r="F194" s="26"/>
      <c r="G194" s="26"/>
      <c r="H194" s="26"/>
      <c r="I194" s="26"/>
      <c r="J194" s="26"/>
      <c r="K194" s="26"/>
      <c r="L194" s="26"/>
      <c r="M194" s="26"/>
      <c r="N194" s="33"/>
      <c r="O194" s="26"/>
      <c r="P194" s="26"/>
      <c r="Q194" s="31"/>
    </row>
    <row r="195" spans="1:17" ht="15.75" x14ac:dyDescent="0.25">
      <c r="B195" s="62" t="s">
        <v>108</v>
      </c>
      <c r="C195" s="26"/>
      <c r="D195" s="26"/>
      <c r="E195" s="26"/>
      <c r="F195" s="26"/>
      <c r="G195" s="26"/>
      <c r="H195" s="26"/>
      <c r="I195" s="26"/>
      <c r="J195" s="26"/>
      <c r="K195" s="26"/>
      <c r="L195" s="26"/>
      <c r="M195" s="26"/>
      <c r="N195" s="33"/>
      <c r="O195" s="26"/>
      <c r="P195" s="26"/>
      <c r="Q195" s="31"/>
    </row>
    <row r="196" spans="1:17" ht="15.75" x14ac:dyDescent="0.25">
      <c r="A196" s="74" t="s">
        <v>123</v>
      </c>
      <c r="B196" s="26" t="s">
        <v>124</v>
      </c>
      <c r="C196" s="62"/>
      <c r="D196" s="62"/>
      <c r="E196" s="62"/>
      <c r="F196" s="62"/>
      <c r="G196" s="62"/>
      <c r="H196" s="62"/>
      <c r="I196" s="62"/>
      <c r="J196" s="62"/>
      <c r="K196" s="62"/>
      <c r="L196" s="62"/>
      <c r="M196" s="62"/>
      <c r="N196" s="67"/>
      <c r="O196" s="62"/>
      <c r="P196" s="62"/>
      <c r="Q196" s="69"/>
    </row>
    <row r="197" spans="1:17" ht="15" x14ac:dyDescent="0.2">
      <c r="B197" s="68"/>
      <c r="C197" s="26"/>
      <c r="D197" s="26"/>
      <c r="E197" s="26"/>
      <c r="F197" s="26"/>
      <c r="G197" s="26"/>
      <c r="H197" s="26"/>
      <c r="I197" s="26"/>
      <c r="J197" s="26"/>
      <c r="K197" s="26"/>
      <c r="L197" s="26"/>
      <c r="M197" s="26"/>
      <c r="N197" s="33"/>
      <c r="O197" s="26"/>
      <c r="P197" s="26"/>
      <c r="Q197" s="31"/>
    </row>
    <row r="198" spans="1:17" ht="15.75" x14ac:dyDescent="0.25">
      <c r="B198" s="62" t="s">
        <v>109</v>
      </c>
      <c r="C198" s="26"/>
      <c r="D198" s="26"/>
      <c r="E198" s="26"/>
      <c r="F198" s="26"/>
      <c r="G198" s="26"/>
      <c r="H198" s="26"/>
      <c r="I198" s="26"/>
      <c r="J198" s="26"/>
      <c r="K198" s="26"/>
      <c r="L198" s="26"/>
      <c r="M198" s="26"/>
      <c r="N198" s="33"/>
      <c r="O198" s="26"/>
      <c r="P198" s="26"/>
      <c r="Q198" s="31"/>
    </row>
    <row r="199" spans="1:17" ht="15" x14ac:dyDescent="0.2">
      <c r="B199" s="26" t="s">
        <v>125</v>
      </c>
    </row>
    <row r="200" spans="1:17" ht="15" x14ac:dyDescent="0.2">
      <c r="B200" s="26"/>
    </row>
    <row r="201" spans="1:17" ht="15" x14ac:dyDescent="0.2">
      <c r="B201" s="26"/>
    </row>
    <row r="202" spans="1:17" ht="15" x14ac:dyDescent="0.2">
      <c r="B202" s="26"/>
    </row>
    <row r="203" spans="1:17" ht="15" x14ac:dyDescent="0.2">
      <c r="B203" s="26"/>
    </row>
    <row r="204" spans="1:17" ht="15" x14ac:dyDescent="0.2">
      <c r="B204" s="78" t="s">
        <v>122</v>
      </c>
      <c r="N204" s="80">
        <f ca="1">A19</f>
        <v>44209</v>
      </c>
    </row>
    <row r="205" spans="1:17" ht="15" x14ac:dyDescent="0.2">
      <c r="B205" s="26"/>
    </row>
    <row r="206" spans="1:17" ht="15" x14ac:dyDescent="0.2">
      <c r="B206" s="26"/>
    </row>
    <row r="207" spans="1:17" ht="15" x14ac:dyDescent="0.2">
      <c r="B207" s="26"/>
    </row>
    <row r="208" spans="1:17" ht="15" x14ac:dyDescent="0.2">
      <c r="B208" s="26"/>
    </row>
    <row r="209" spans="2:2" ht="15" x14ac:dyDescent="0.2">
      <c r="B209" s="26"/>
    </row>
    <row r="210" spans="2:2" ht="15" x14ac:dyDescent="0.2">
      <c r="B210" s="26"/>
    </row>
    <row r="211" spans="2:2" ht="15" x14ac:dyDescent="0.2">
      <c r="B211" s="26"/>
    </row>
    <row r="212" spans="2:2" ht="15" x14ac:dyDescent="0.2">
      <c r="B212" s="26"/>
    </row>
    <row r="213" spans="2:2" ht="15" x14ac:dyDescent="0.2">
      <c r="B213" s="79">
        <f ca="1">TODAY()</f>
        <v>44209</v>
      </c>
    </row>
    <row r="215" spans="2:2" ht="15.75" x14ac:dyDescent="0.25">
      <c r="B215" s="70"/>
    </row>
  </sheetData>
  <sheetProtection selectLockedCells="1" selectUnlockedCells="1"/>
  <mergeCells count="8">
    <mergeCell ref="A13:B13"/>
    <mergeCell ref="A1:B6"/>
    <mergeCell ref="A7:B7"/>
    <mergeCell ref="A9:B9"/>
    <mergeCell ref="A10:B10"/>
    <mergeCell ref="A11:B11"/>
    <mergeCell ref="A12:B12"/>
    <mergeCell ref="A8:B8"/>
  </mergeCells>
  <hyperlinks>
    <hyperlink ref="A13" r:id="rId1" xr:uid="{00000000-0004-0000-0300-000000000000}"/>
  </hyperlinks>
  <pageMargins left="0.31496062992125984" right="0.31496062992125984" top="0.35433070866141736" bottom="0.35433070866141736" header="0.31496062992125984" footer="0.31496062992125984"/>
  <pageSetup paperSize="9" orientation="portrait" r:id="rId2"/>
  <rowBreaks count="4" manualBreakCount="4">
    <brk id="43" max="16383" man="1"/>
    <brk id="90" max="16383" man="1"/>
    <brk id="128" max="16383" man="1"/>
    <brk id="167" max="16383" man="1"/>
  </rowBreaks>
  <drawing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8</vt:i4>
      </vt:variant>
    </vt:vector>
  </HeadingPairs>
  <TitlesOfParts>
    <vt:vector size="12" baseType="lpstr">
      <vt:lpstr>CONFECCION</vt:lpstr>
      <vt:lpstr>Auxiliar</vt:lpstr>
      <vt:lpstr>Carta</vt:lpstr>
      <vt:lpstr>PRESUPUESTO PARA IMPRIMIR</vt:lpstr>
      <vt:lpstr>CONFECCION!IF</vt:lpstr>
      <vt:lpstr>IF</vt:lpstr>
      <vt:lpstr>PDAS</vt:lpstr>
      <vt:lpstr>CONFECCION!Print_Area</vt:lpstr>
      <vt:lpstr>'PRESUPUESTO PARA IMPRIMIR'!Print_Area</vt:lpstr>
      <vt:lpstr>TAlm</vt:lpstr>
      <vt:lpstr>TRep</vt:lpstr>
      <vt:lpstr>Usuarios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</dc:creator>
  <cp:lastModifiedBy>PC</cp:lastModifiedBy>
  <cp:lastPrinted>2020-01-20T09:06:42Z</cp:lastPrinted>
  <dcterms:created xsi:type="dcterms:W3CDTF">2008-09-03T08:18:44Z</dcterms:created>
  <dcterms:modified xsi:type="dcterms:W3CDTF">2021-01-13T12:58:27Z</dcterms:modified>
</cp:coreProperties>
</file>